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ndustrie\"/>
    </mc:Choice>
  </mc:AlternateContent>
  <bookViews>
    <workbookView xWindow="0" yWindow="0" windowWidth="23040" windowHeight="9408"/>
  </bookViews>
  <sheets>
    <sheet name="Tabelle1" sheetId="1" r:id="rId1"/>
  </sheets>
  <definedNames>
    <definedName name="_xlnm._FilterDatabase" localSheetId="0" hidden="1">Tabelle1!$A$1:$B$17416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416" i="1" l="1"/>
  <c r="A17415" i="1"/>
  <c r="A17414" i="1"/>
  <c r="A17413" i="1"/>
  <c r="A17412" i="1"/>
  <c r="A17411" i="1"/>
  <c r="A17410" i="1"/>
  <c r="A17409" i="1"/>
  <c r="A17408" i="1"/>
  <c r="A17407" i="1"/>
  <c r="A17406" i="1"/>
  <c r="A17405" i="1"/>
  <c r="A17404" i="1"/>
  <c r="A17403" i="1"/>
  <c r="A17402" i="1"/>
  <c r="A17401" i="1"/>
  <c r="A17400" i="1"/>
  <c r="A17399" i="1"/>
  <c r="A17398" i="1"/>
  <c r="A17397" i="1"/>
  <c r="A17396" i="1"/>
  <c r="A17395" i="1"/>
  <c r="A17394" i="1"/>
  <c r="A17393" i="1"/>
  <c r="A17392" i="1"/>
  <c r="A17391" i="1"/>
  <c r="A17390" i="1"/>
  <c r="A17389" i="1"/>
  <c r="A17388" i="1"/>
  <c r="A17387" i="1"/>
  <c r="A17386" i="1"/>
  <c r="A17385" i="1"/>
  <c r="A17384" i="1"/>
  <c r="A17383" i="1"/>
  <c r="A17382" i="1"/>
  <c r="A17381" i="1"/>
  <c r="A17380" i="1"/>
  <c r="A17379" i="1"/>
  <c r="A17378" i="1"/>
  <c r="A17377" i="1"/>
  <c r="A17376" i="1"/>
  <c r="A17375" i="1"/>
  <c r="A17374" i="1"/>
  <c r="A17373" i="1"/>
  <c r="A17372" i="1"/>
  <c r="A17371" i="1"/>
  <c r="A17370" i="1"/>
  <c r="A17369" i="1"/>
  <c r="A17368" i="1"/>
  <c r="A17367" i="1"/>
  <c r="A17366" i="1"/>
  <c r="A17365" i="1"/>
  <c r="A17364" i="1"/>
  <c r="A17363" i="1"/>
  <c r="A17362" i="1"/>
  <c r="A17361" i="1"/>
  <c r="A17360" i="1"/>
  <c r="A17359" i="1"/>
  <c r="A17358" i="1"/>
  <c r="A17357" i="1"/>
  <c r="A17356" i="1"/>
  <c r="A17355" i="1"/>
  <c r="A17354" i="1"/>
  <c r="A17353" i="1"/>
  <c r="A17352" i="1"/>
  <c r="A17351" i="1"/>
  <c r="A17350" i="1"/>
  <c r="A17349" i="1"/>
  <c r="A17348" i="1"/>
  <c r="A17347" i="1"/>
  <c r="A17346" i="1"/>
  <c r="A17345" i="1"/>
  <c r="A17344" i="1"/>
  <c r="A17343" i="1"/>
  <c r="A17342" i="1"/>
  <c r="A17341" i="1"/>
  <c r="A17340" i="1"/>
  <c r="A17339" i="1"/>
  <c r="A17338" i="1"/>
  <c r="A17337" i="1"/>
  <c r="A17336" i="1"/>
  <c r="A17335" i="1"/>
  <c r="A17334" i="1"/>
  <c r="A17333" i="1"/>
  <c r="A17332" i="1"/>
  <c r="A17331" i="1"/>
  <c r="A17330" i="1"/>
  <c r="A17329" i="1"/>
  <c r="A17328" i="1"/>
  <c r="A17327" i="1"/>
  <c r="A17326" i="1"/>
  <c r="A17325" i="1"/>
  <c r="A17324" i="1"/>
  <c r="A17323" i="1"/>
  <c r="A17322" i="1"/>
  <c r="A17321" i="1"/>
  <c r="A17320" i="1"/>
  <c r="A17319" i="1"/>
  <c r="A17318" i="1"/>
  <c r="A17317" i="1"/>
  <c r="A17316" i="1"/>
  <c r="A17315" i="1"/>
  <c r="A17314" i="1"/>
  <c r="A17313" i="1"/>
  <c r="A17312" i="1"/>
  <c r="A17311" i="1"/>
  <c r="A17310" i="1"/>
  <c r="A17309" i="1"/>
  <c r="A17308" i="1"/>
  <c r="A17307" i="1"/>
  <c r="A17306" i="1"/>
  <c r="A17305" i="1"/>
  <c r="A17304" i="1"/>
  <c r="A17303" i="1"/>
  <c r="A17302" i="1"/>
  <c r="A17301" i="1"/>
  <c r="A17300" i="1"/>
  <c r="A17299" i="1"/>
  <c r="A17298" i="1"/>
  <c r="A17297" i="1"/>
  <c r="A17296" i="1"/>
  <c r="A17295" i="1"/>
  <c r="A17294" i="1"/>
  <c r="A17293" i="1"/>
  <c r="A17292" i="1"/>
  <c r="A17291" i="1"/>
  <c r="A17290" i="1"/>
  <c r="A17289" i="1"/>
  <c r="A17288" i="1"/>
  <c r="A17287" i="1"/>
  <c r="A17286" i="1"/>
  <c r="A17285" i="1"/>
  <c r="A17284" i="1"/>
  <c r="A17283" i="1"/>
  <c r="A17282" i="1"/>
  <c r="A17281" i="1"/>
  <c r="A17280" i="1"/>
  <c r="A17279" i="1"/>
  <c r="A17278" i="1"/>
  <c r="A17277" i="1"/>
  <c r="A17276" i="1"/>
  <c r="A17275" i="1"/>
  <c r="A17274" i="1"/>
  <c r="A17273" i="1"/>
  <c r="A17272" i="1"/>
  <c r="A17271" i="1"/>
  <c r="A17270" i="1"/>
  <c r="A17269" i="1"/>
  <c r="A17268" i="1"/>
  <c r="A17267" i="1"/>
  <c r="A17266" i="1"/>
  <c r="A17265" i="1"/>
  <c r="A17264" i="1"/>
  <c r="A17263" i="1"/>
  <c r="A17262" i="1"/>
  <c r="A17261" i="1"/>
  <c r="A17260" i="1"/>
  <c r="A17259" i="1"/>
  <c r="A17258" i="1"/>
  <c r="A17257" i="1"/>
  <c r="A17256" i="1"/>
  <c r="A17255" i="1"/>
  <c r="A17254" i="1"/>
  <c r="A17253" i="1"/>
  <c r="A17252" i="1"/>
  <c r="A17251" i="1"/>
  <c r="A17250" i="1"/>
  <c r="A17249" i="1"/>
  <c r="A17248" i="1"/>
  <c r="A17247" i="1"/>
  <c r="A17246" i="1"/>
  <c r="A17245" i="1"/>
  <c r="A17244" i="1"/>
  <c r="A17243" i="1"/>
  <c r="A17242" i="1"/>
  <c r="A17241" i="1"/>
  <c r="A17240" i="1"/>
  <c r="A17239" i="1"/>
  <c r="A17238" i="1"/>
  <c r="A17237" i="1"/>
  <c r="A17236" i="1"/>
  <c r="A17235" i="1"/>
  <c r="A17234" i="1"/>
  <c r="A17233" i="1"/>
  <c r="A17232" i="1"/>
  <c r="A17231" i="1"/>
  <c r="A17230" i="1"/>
  <c r="A17229" i="1"/>
  <c r="A17228" i="1"/>
  <c r="A17227" i="1"/>
  <c r="A17226" i="1"/>
  <c r="A17225" i="1"/>
  <c r="A17224" i="1"/>
  <c r="A17223" i="1"/>
  <c r="A17222" i="1"/>
  <c r="A17221" i="1"/>
  <c r="A17220" i="1"/>
  <c r="A17219" i="1"/>
  <c r="A17218" i="1"/>
  <c r="A17217" i="1"/>
  <c r="A17216" i="1"/>
  <c r="A17215" i="1"/>
  <c r="A17214" i="1"/>
  <c r="A17213" i="1"/>
  <c r="A17212" i="1"/>
  <c r="A17211" i="1"/>
  <c r="A17210" i="1"/>
  <c r="A17209" i="1"/>
  <c r="A17208" i="1"/>
  <c r="A17207" i="1"/>
  <c r="A17206" i="1"/>
  <c r="A17205" i="1"/>
  <c r="A17204" i="1"/>
  <c r="A17203" i="1"/>
  <c r="A17202" i="1"/>
  <c r="A17201" i="1"/>
  <c r="A17200" i="1"/>
  <c r="A17199" i="1"/>
  <c r="A17198" i="1"/>
  <c r="A17197" i="1"/>
  <c r="A17196" i="1"/>
  <c r="A17195" i="1"/>
  <c r="A17194" i="1"/>
  <c r="A17193" i="1"/>
  <c r="A17192" i="1"/>
  <c r="A17191" i="1"/>
  <c r="A17190" i="1"/>
  <c r="A17189" i="1"/>
  <c r="A17188" i="1"/>
  <c r="A17187" i="1"/>
  <c r="A17186" i="1"/>
  <c r="A17185" i="1"/>
  <c r="A17184" i="1"/>
  <c r="A17183" i="1"/>
  <c r="A17182" i="1"/>
  <c r="A17181" i="1"/>
  <c r="A17180" i="1"/>
  <c r="A17179" i="1"/>
  <c r="A17178" i="1"/>
  <c r="A17177" i="1"/>
  <c r="A17176" i="1"/>
  <c r="A17175" i="1"/>
  <c r="A17174" i="1"/>
  <c r="A17173" i="1"/>
  <c r="A17172" i="1"/>
  <c r="A17171" i="1"/>
  <c r="A17170" i="1"/>
  <c r="A17169" i="1"/>
  <c r="A17168" i="1"/>
  <c r="A17167" i="1"/>
  <c r="A17166" i="1"/>
  <c r="A17165" i="1"/>
  <c r="A17164" i="1"/>
  <c r="A17163" i="1"/>
  <c r="A17162" i="1"/>
  <c r="A17161" i="1"/>
  <c r="A17160" i="1"/>
  <c r="A17159" i="1"/>
  <c r="A17158" i="1"/>
  <c r="A17157" i="1"/>
  <c r="A17156" i="1"/>
  <c r="A17155" i="1"/>
  <c r="A17154" i="1"/>
  <c r="A17153" i="1"/>
  <c r="A17152" i="1"/>
  <c r="A17151" i="1"/>
  <c r="A17150" i="1"/>
  <c r="A17149" i="1"/>
  <c r="A17148" i="1"/>
  <c r="A17147" i="1"/>
  <c r="A17146" i="1"/>
  <c r="A17145" i="1"/>
  <c r="A17144" i="1"/>
  <c r="A17143" i="1"/>
  <c r="A17142" i="1"/>
  <c r="A17141" i="1"/>
  <c r="A17140" i="1"/>
  <c r="A17139" i="1"/>
  <c r="A17138" i="1"/>
  <c r="A17137" i="1"/>
  <c r="A17136" i="1"/>
  <c r="A17135" i="1"/>
  <c r="A17134" i="1"/>
  <c r="A17133" i="1"/>
  <c r="A17132" i="1"/>
  <c r="A17131" i="1"/>
  <c r="A17130" i="1"/>
  <c r="A17129" i="1"/>
  <c r="A17128" i="1"/>
  <c r="A17127" i="1"/>
  <c r="A17126" i="1"/>
  <c r="A17125" i="1"/>
  <c r="A17124" i="1"/>
  <c r="A17123" i="1"/>
  <c r="A17122" i="1"/>
  <c r="A17121" i="1"/>
  <c r="A17120" i="1"/>
  <c r="A17119" i="1"/>
  <c r="A17118" i="1"/>
  <c r="A17117" i="1"/>
  <c r="A17116" i="1"/>
  <c r="A17115" i="1"/>
  <c r="A17114" i="1"/>
  <c r="A17113" i="1"/>
  <c r="A17112" i="1"/>
  <c r="A17111" i="1"/>
  <c r="A17110" i="1"/>
  <c r="A17109" i="1"/>
  <c r="A17108" i="1"/>
  <c r="A17107" i="1"/>
  <c r="A17106" i="1"/>
  <c r="A17105" i="1"/>
  <c r="A17104" i="1"/>
  <c r="A17103" i="1"/>
  <c r="A17102" i="1"/>
  <c r="A17101" i="1"/>
  <c r="A17100" i="1"/>
  <c r="A17099" i="1"/>
  <c r="A17098" i="1"/>
  <c r="A17097" i="1"/>
  <c r="A17096" i="1"/>
  <c r="A17095" i="1"/>
  <c r="A17094" i="1"/>
  <c r="A17093" i="1"/>
  <c r="A17092" i="1"/>
  <c r="A17091" i="1"/>
  <c r="A17090" i="1"/>
  <c r="A17089" i="1"/>
  <c r="A17088" i="1"/>
  <c r="A17087" i="1"/>
  <c r="A17086" i="1"/>
  <c r="A17085" i="1"/>
  <c r="A17084" i="1"/>
  <c r="A17083" i="1"/>
  <c r="A17082" i="1"/>
  <c r="A17081" i="1"/>
  <c r="A17080" i="1"/>
  <c r="A17079" i="1"/>
  <c r="A17078" i="1"/>
  <c r="A17077" i="1"/>
  <c r="A17076" i="1"/>
  <c r="A17075" i="1"/>
  <c r="A17074" i="1"/>
  <c r="A17073" i="1"/>
  <c r="A17072" i="1"/>
  <c r="A17071" i="1"/>
  <c r="A17070" i="1"/>
  <c r="A17069" i="1"/>
  <c r="A17068" i="1"/>
  <c r="A17067" i="1"/>
  <c r="A17066" i="1"/>
  <c r="A17065" i="1"/>
  <c r="A17064" i="1"/>
  <c r="A17063" i="1"/>
  <c r="A17062" i="1"/>
  <c r="A17061" i="1"/>
  <c r="A17060" i="1"/>
  <c r="A17059" i="1"/>
  <c r="A17058" i="1"/>
  <c r="A17057" i="1"/>
  <c r="A17056" i="1"/>
  <c r="A17055" i="1"/>
  <c r="A17054" i="1"/>
  <c r="A17053" i="1"/>
  <c r="A17052" i="1"/>
  <c r="A17051" i="1"/>
  <c r="A17050" i="1"/>
  <c r="A17049" i="1"/>
  <c r="A17048" i="1"/>
  <c r="A17047" i="1"/>
  <c r="A17046" i="1"/>
  <c r="A17045" i="1"/>
  <c r="A17044" i="1"/>
  <c r="A17043" i="1"/>
  <c r="A17042" i="1"/>
  <c r="A17041" i="1"/>
  <c r="A17040" i="1"/>
  <c r="A17039" i="1"/>
  <c r="A17038" i="1"/>
  <c r="A17037" i="1"/>
  <c r="A17036" i="1"/>
  <c r="A17035" i="1"/>
  <c r="A17034" i="1"/>
  <c r="A17033" i="1"/>
  <c r="A17032" i="1"/>
  <c r="A17031" i="1"/>
  <c r="A17030" i="1"/>
  <c r="A17029" i="1"/>
  <c r="A17028" i="1"/>
  <c r="A17027" i="1"/>
  <c r="A17026" i="1"/>
  <c r="A17025" i="1"/>
  <c r="A17024" i="1"/>
  <c r="A17023" i="1"/>
  <c r="A17022" i="1"/>
  <c r="A17021" i="1"/>
  <c r="A17020" i="1"/>
  <c r="A17019" i="1"/>
  <c r="A17018" i="1"/>
  <c r="A17017" i="1"/>
  <c r="A17016" i="1"/>
  <c r="A17015" i="1"/>
  <c r="A17014" i="1"/>
  <c r="A17013" i="1"/>
  <c r="A17012" i="1"/>
  <c r="A17011" i="1"/>
  <c r="A17010" i="1"/>
  <c r="A17009" i="1"/>
  <c r="A17008" i="1"/>
  <c r="A17007" i="1"/>
  <c r="A17006" i="1"/>
  <c r="A17005" i="1"/>
  <c r="A17004" i="1"/>
  <c r="A17003" i="1"/>
  <c r="A17002" i="1"/>
  <c r="A17001" i="1"/>
  <c r="A17000" i="1"/>
  <c r="A16999" i="1"/>
  <c r="A16998" i="1"/>
  <c r="A16997" i="1"/>
  <c r="A16996" i="1"/>
  <c r="A16995" i="1"/>
  <c r="A16994" i="1"/>
  <c r="A16993" i="1"/>
  <c r="A16992" i="1"/>
  <c r="A16991" i="1"/>
  <c r="A16990" i="1"/>
  <c r="A16989" i="1"/>
  <c r="A16988" i="1"/>
  <c r="A16987" i="1"/>
  <c r="A16986" i="1"/>
  <c r="A16985" i="1"/>
  <c r="A16984" i="1"/>
  <c r="A16983" i="1"/>
  <c r="A16982" i="1"/>
  <c r="A16981" i="1"/>
  <c r="A16980" i="1"/>
  <c r="A16979" i="1"/>
  <c r="A16978" i="1"/>
  <c r="A16977" i="1"/>
  <c r="A16976" i="1"/>
  <c r="A16975" i="1"/>
  <c r="A16974" i="1"/>
  <c r="A16973" i="1"/>
  <c r="A16972" i="1"/>
  <c r="A16971" i="1"/>
  <c r="A16970" i="1"/>
  <c r="A16969" i="1"/>
  <c r="A16968" i="1"/>
  <c r="A16967" i="1"/>
  <c r="A16966" i="1"/>
  <c r="A16965" i="1"/>
  <c r="A16964" i="1"/>
  <c r="A16963" i="1"/>
  <c r="A16962" i="1"/>
  <c r="A16961" i="1"/>
  <c r="A16960" i="1"/>
  <c r="A16959" i="1"/>
  <c r="A16958" i="1"/>
  <c r="A16957" i="1"/>
  <c r="A16956" i="1"/>
  <c r="A16955" i="1"/>
  <c r="A16954" i="1"/>
  <c r="A16953" i="1"/>
  <c r="A16952" i="1"/>
  <c r="A16951" i="1"/>
  <c r="A16950" i="1"/>
  <c r="A16949" i="1"/>
  <c r="A16948" i="1"/>
  <c r="A16947" i="1"/>
  <c r="A16946" i="1"/>
  <c r="A16945" i="1"/>
  <c r="A16944" i="1"/>
  <c r="A16943" i="1"/>
  <c r="A16942" i="1"/>
  <c r="A16941" i="1"/>
  <c r="A16940" i="1"/>
  <c r="A16939" i="1"/>
  <c r="A16938" i="1"/>
  <c r="A16937" i="1"/>
  <c r="A16936" i="1"/>
  <c r="A16935" i="1"/>
  <c r="A16934" i="1"/>
  <c r="A16933" i="1"/>
  <c r="A16932" i="1"/>
  <c r="A16931" i="1"/>
  <c r="A16930" i="1"/>
  <c r="A16929" i="1"/>
  <c r="A16928" i="1"/>
  <c r="A16927" i="1"/>
  <c r="A16926" i="1"/>
  <c r="A16925" i="1"/>
  <c r="A16924" i="1"/>
  <c r="A16923" i="1"/>
  <c r="A16922" i="1"/>
  <c r="A16921" i="1"/>
  <c r="A16920" i="1"/>
  <c r="A16919" i="1"/>
  <c r="A16918" i="1"/>
  <c r="A16917" i="1"/>
  <c r="A16916" i="1"/>
  <c r="A16915" i="1"/>
  <c r="A16914" i="1"/>
  <c r="A16913" i="1"/>
  <c r="A16912" i="1"/>
  <c r="A16911" i="1"/>
  <c r="A16910" i="1"/>
  <c r="A16909" i="1"/>
  <c r="A16908" i="1"/>
  <c r="A16907" i="1"/>
  <c r="A16906" i="1"/>
  <c r="A16905" i="1"/>
  <c r="A16904" i="1"/>
  <c r="A16903" i="1"/>
  <c r="A16902" i="1"/>
  <c r="A16901" i="1"/>
  <c r="A16900" i="1"/>
  <c r="A16899" i="1"/>
  <c r="A16898" i="1"/>
  <c r="A16897" i="1"/>
  <c r="A16896" i="1"/>
  <c r="A16895" i="1"/>
  <c r="A16894" i="1"/>
  <c r="A16893" i="1"/>
  <c r="A16892" i="1"/>
  <c r="A16891" i="1"/>
  <c r="A16890" i="1"/>
  <c r="A16889" i="1"/>
  <c r="A16888" i="1"/>
  <c r="A16887" i="1"/>
  <c r="A16886" i="1"/>
  <c r="A16885" i="1"/>
  <c r="A16884" i="1"/>
  <c r="A16883" i="1"/>
  <c r="A16882" i="1"/>
  <c r="A16881" i="1"/>
  <c r="A16880" i="1"/>
  <c r="A16879" i="1"/>
  <c r="A16878" i="1"/>
  <c r="A16877" i="1"/>
  <c r="A16876" i="1"/>
  <c r="A16875" i="1"/>
  <c r="A16874" i="1"/>
  <c r="A16873" i="1"/>
  <c r="A16872" i="1"/>
  <c r="A16871" i="1"/>
  <c r="A16870" i="1"/>
  <c r="A16869" i="1"/>
  <c r="A16868" i="1"/>
  <c r="A16867" i="1"/>
  <c r="A16866" i="1"/>
  <c r="A16865" i="1"/>
  <c r="A16864" i="1"/>
  <c r="A16863" i="1"/>
  <c r="A16862" i="1"/>
  <c r="A16861" i="1"/>
  <c r="A16860" i="1"/>
  <c r="A16859" i="1"/>
  <c r="A16858" i="1"/>
  <c r="A16857" i="1"/>
  <c r="A16856" i="1"/>
  <c r="A16855" i="1"/>
  <c r="A16854" i="1"/>
  <c r="A16853" i="1"/>
  <c r="A16852" i="1"/>
  <c r="A16851" i="1"/>
  <c r="A16850" i="1"/>
  <c r="A16849" i="1"/>
  <c r="A16848" i="1"/>
  <c r="A16847" i="1"/>
  <c r="A16846" i="1"/>
  <c r="A16845" i="1"/>
  <c r="A16844" i="1"/>
  <c r="A16843" i="1"/>
  <c r="A16842" i="1"/>
  <c r="A16841" i="1"/>
  <c r="A16840" i="1"/>
  <c r="A16839" i="1"/>
  <c r="A16838" i="1"/>
  <c r="A16837" i="1"/>
  <c r="A16836" i="1"/>
  <c r="A16835" i="1"/>
  <c r="A16834" i="1"/>
  <c r="A16833" i="1"/>
  <c r="A16832" i="1"/>
  <c r="A16831" i="1"/>
  <c r="A16830" i="1"/>
  <c r="A16829" i="1"/>
  <c r="A16828" i="1"/>
  <c r="A16827" i="1"/>
  <c r="A16826" i="1"/>
  <c r="A16825" i="1"/>
  <c r="A16824" i="1"/>
  <c r="A16823" i="1"/>
  <c r="A16822" i="1"/>
  <c r="A16821" i="1"/>
  <c r="A16820" i="1"/>
  <c r="A16819" i="1"/>
  <c r="A16818" i="1"/>
  <c r="A16817" i="1"/>
  <c r="A16816" i="1"/>
  <c r="A16815" i="1"/>
  <c r="A16814" i="1"/>
  <c r="A16813" i="1"/>
  <c r="A16812" i="1"/>
  <c r="A16811" i="1"/>
  <c r="A16810" i="1"/>
  <c r="A16809" i="1"/>
  <c r="A16808" i="1"/>
  <c r="A16807" i="1"/>
  <c r="A16806" i="1"/>
  <c r="A16805" i="1"/>
  <c r="A16804" i="1"/>
  <c r="A16803" i="1"/>
  <c r="A16802" i="1"/>
  <c r="A16801" i="1"/>
  <c r="A16800" i="1"/>
  <c r="A16799" i="1"/>
  <c r="A16798" i="1"/>
  <c r="A16797" i="1"/>
  <c r="A16796" i="1"/>
  <c r="A16795" i="1"/>
  <c r="A16794" i="1"/>
  <c r="A16793" i="1"/>
  <c r="A16792" i="1"/>
  <c r="A16791" i="1"/>
  <c r="A16790" i="1"/>
  <c r="A16789" i="1"/>
  <c r="A16788" i="1"/>
  <c r="A16787" i="1"/>
  <c r="A16786" i="1"/>
  <c r="A16785" i="1"/>
  <c r="A16784" i="1"/>
  <c r="A16783" i="1"/>
  <c r="A16782" i="1"/>
  <c r="A16781" i="1"/>
  <c r="A16780" i="1"/>
  <c r="A16779" i="1"/>
  <c r="A16778" i="1"/>
  <c r="A16777" i="1"/>
  <c r="A16776" i="1"/>
  <c r="A16775" i="1"/>
  <c r="A16774" i="1"/>
  <c r="A16773" i="1"/>
  <c r="A16772" i="1"/>
  <c r="A16771" i="1"/>
  <c r="A16770" i="1"/>
  <c r="A16769" i="1"/>
  <c r="A16768" i="1"/>
  <c r="A16767" i="1"/>
  <c r="A16766" i="1"/>
  <c r="A16765" i="1"/>
  <c r="A16764" i="1"/>
  <c r="A16763" i="1"/>
  <c r="A16762" i="1"/>
  <c r="A16761" i="1"/>
  <c r="A16760" i="1"/>
  <c r="A16759" i="1"/>
  <c r="A16758" i="1"/>
  <c r="A16757" i="1"/>
  <c r="A16756" i="1"/>
  <c r="A16755" i="1"/>
  <c r="A16754" i="1"/>
  <c r="A16753" i="1"/>
  <c r="A16752" i="1"/>
  <c r="A16751" i="1"/>
  <c r="A16750" i="1"/>
  <c r="A16749" i="1"/>
  <c r="A16748" i="1"/>
  <c r="A16747" i="1"/>
  <c r="A16746" i="1"/>
  <c r="A16745" i="1"/>
  <c r="A16744" i="1"/>
  <c r="A16743" i="1"/>
  <c r="A16742" i="1"/>
  <c r="A16741" i="1"/>
  <c r="A16740" i="1"/>
  <c r="A16739" i="1"/>
  <c r="A16738" i="1"/>
  <c r="A16737" i="1"/>
  <c r="A16736" i="1"/>
  <c r="A16735" i="1"/>
  <c r="A16734" i="1"/>
  <c r="A16733" i="1"/>
  <c r="A16732" i="1"/>
  <c r="A16731" i="1"/>
  <c r="A16730" i="1"/>
  <c r="A16729" i="1"/>
  <c r="A16728" i="1"/>
  <c r="A16727" i="1"/>
  <c r="A16726" i="1"/>
  <c r="A16725" i="1"/>
  <c r="A16724" i="1"/>
  <c r="A16723" i="1"/>
  <c r="A16722" i="1"/>
  <c r="A16721" i="1"/>
  <c r="A16720" i="1"/>
  <c r="A16719" i="1"/>
  <c r="A16718" i="1"/>
  <c r="A16717" i="1"/>
  <c r="A16716" i="1"/>
  <c r="A16715" i="1"/>
  <c r="A16714" i="1"/>
  <c r="A16713" i="1"/>
  <c r="A16712" i="1"/>
  <c r="A16711" i="1"/>
  <c r="A16710" i="1"/>
  <c r="A16709" i="1"/>
  <c r="A16708" i="1"/>
  <c r="A16707" i="1"/>
  <c r="A16706" i="1"/>
  <c r="A16705" i="1"/>
  <c r="A16704" i="1"/>
  <c r="A16703" i="1"/>
  <c r="A16702" i="1"/>
  <c r="A16701" i="1"/>
  <c r="A16700" i="1"/>
  <c r="A16699" i="1"/>
  <c r="A16698" i="1"/>
  <c r="A16697" i="1"/>
  <c r="A16696" i="1"/>
  <c r="A16695" i="1"/>
  <c r="A16694" i="1"/>
  <c r="A16693" i="1"/>
  <c r="A16692" i="1"/>
  <c r="A16691" i="1"/>
  <c r="A16690" i="1"/>
  <c r="A16689" i="1"/>
  <c r="A16688" i="1"/>
  <c r="A16687" i="1"/>
  <c r="A16686" i="1"/>
  <c r="A16685" i="1"/>
  <c r="A16684" i="1"/>
  <c r="A16683" i="1"/>
  <c r="A16682" i="1"/>
  <c r="A16681" i="1"/>
  <c r="A16680" i="1"/>
  <c r="A16679" i="1"/>
  <c r="A16678" i="1"/>
  <c r="A16677" i="1"/>
  <c r="A16676" i="1"/>
  <c r="A16675" i="1"/>
  <c r="A16674" i="1"/>
  <c r="A16673" i="1"/>
  <c r="A16672" i="1"/>
  <c r="A16671" i="1"/>
  <c r="A16670" i="1"/>
  <c r="A16669" i="1"/>
  <c r="A16668" i="1"/>
  <c r="A16667" i="1"/>
  <c r="A16666" i="1"/>
  <c r="A16665" i="1"/>
  <c r="A16664" i="1"/>
  <c r="A16663" i="1"/>
  <c r="A16662" i="1"/>
  <c r="A16661" i="1"/>
  <c r="A16660" i="1"/>
  <c r="A16659" i="1"/>
  <c r="A16658" i="1"/>
  <c r="A16657" i="1"/>
  <c r="A16656" i="1"/>
  <c r="A16655" i="1"/>
  <c r="A16654" i="1"/>
  <c r="A16653" i="1"/>
  <c r="A16652" i="1"/>
  <c r="A16651" i="1"/>
  <c r="A16650" i="1"/>
  <c r="A16649" i="1"/>
  <c r="A16648" i="1"/>
  <c r="A16647" i="1"/>
  <c r="A16646" i="1"/>
  <c r="A16645" i="1"/>
  <c r="A16644" i="1"/>
  <c r="A16643" i="1"/>
  <c r="A16642" i="1"/>
  <c r="A16641" i="1"/>
  <c r="A16640" i="1"/>
  <c r="A16639" i="1"/>
  <c r="A16638" i="1"/>
  <c r="A16637" i="1"/>
  <c r="A16636" i="1"/>
  <c r="A16635" i="1"/>
  <c r="A16634" i="1"/>
  <c r="A16633" i="1"/>
  <c r="A16632" i="1"/>
  <c r="A16631" i="1"/>
  <c r="A16630" i="1"/>
  <c r="A16629" i="1"/>
  <c r="A16628" i="1"/>
  <c r="A16627" i="1"/>
  <c r="A16626" i="1"/>
  <c r="A16625" i="1"/>
  <c r="A16624" i="1"/>
  <c r="A16623" i="1"/>
  <c r="A16622" i="1"/>
  <c r="A16621" i="1"/>
  <c r="A16620" i="1"/>
  <c r="A16619" i="1"/>
  <c r="A16618" i="1"/>
  <c r="A16617" i="1"/>
  <c r="A16616" i="1"/>
  <c r="A16615" i="1"/>
  <c r="A16614" i="1"/>
  <c r="A16613" i="1"/>
  <c r="A16612" i="1"/>
  <c r="A16611" i="1"/>
  <c r="A16610" i="1"/>
  <c r="A16609" i="1"/>
  <c r="A16608" i="1"/>
  <c r="A16607" i="1"/>
  <c r="A16606" i="1"/>
  <c r="A16605" i="1"/>
  <c r="A16604" i="1"/>
  <c r="A16603" i="1"/>
  <c r="A16602" i="1"/>
  <c r="A16601" i="1"/>
  <c r="A16600" i="1"/>
  <c r="A16599" i="1"/>
  <c r="A16598" i="1"/>
  <c r="A16597" i="1"/>
  <c r="A16596" i="1"/>
  <c r="A16595" i="1"/>
  <c r="A16594" i="1"/>
  <c r="A16593" i="1"/>
  <c r="A16592" i="1"/>
  <c r="A16591" i="1"/>
  <c r="A16590" i="1"/>
  <c r="A16589" i="1"/>
  <c r="A16588" i="1"/>
  <c r="A16587" i="1"/>
  <c r="A16586" i="1"/>
  <c r="A16585" i="1"/>
  <c r="A16584" i="1"/>
  <c r="A16583" i="1"/>
  <c r="A16582" i="1"/>
  <c r="A16581" i="1"/>
  <c r="A16580" i="1"/>
  <c r="A16579" i="1"/>
  <c r="A16578" i="1"/>
  <c r="A16577" i="1"/>
  <c r="A16576" i="1"/>
  <c r="A16575" i="1"/>
  <c r="A16574" i="1"/>
  <c r="A16573" i="1"/>
  <c r="A16572" i="1"/>
  <c r="A16571" i="1"/>
  <c r="A16570" i="1"/>
  <c r="A16569" i="1"/>
  <c r="A16568" i="1"/>
  <c r="A16567" i="1"/>
  <c r="A16566" i="1"/>
  <c r="A16565" i="1"/>
  <c r="A16564" i="1"/>
  <c r="A16563" i="1"/>
  <c r="A16562" i="1"/>
  <c r="A16561" i="1"/>
  <c r="A16560" i="1"/>
  <c r="A16559" i="1"/>
  <c r="A16558" i="1"/>
  <c r="A16557" i="1"/>
  <c r="A16556" i="1"/>
  <c r="A16555" i="1"/>
  <c r="A16554" i="1"/>
  <c r="A16553" i="1"/>
  <c r="A16552" i="1"/>
  <c r="A16551" i="1"/>
  <c r="A16550" i="1"/>
  <c r="A16549" i="1"/>
  <c r="A16548" i="1"/>
  <c r="A16547" i="1"/>
  <c r="A16546" i="1"/>
  <c r="A16545" i="1"/>
  <c r="A16544" i="1"/>
  <c r="A16543" i="1"/>
  <c r="A16542" i="1"/>
  <c r="A16541" i="1"/>
  <c r="A16540" i="1"/>
  <c r="A16539" i="1"/>
  <c r="A16538" i="1"/>
  <c r="A16537" i="1"/>
  <c r="A16536" i="1"/>
  <c r="A16535" i="1"/>
  <c r="A16534" i="1"/>
  <c r="A16533" i="1"/>
  <c r="A16532" i="1"/>
  <c r="A16531" i="1"/>
  <c r="A16530" i="1"/>
  <c r="A16529" i="1"/>
  <c r="A16528" i="1"/>
  <c r="A16527" i="1"/>
  <c r="A16526" i="1"/>
  <c r="A16525" i="1"/>
  <c r="A16524" i="1"/>
  <c r="A16523" i="1"/>
  <c r="A16522" i="1"/>
  <c r="A16521" i="1"/>
  <c r="A16520" i="1"/>
  <c r="A16519" i="1"/>
  <c r="A16518" i="1"/>
  <c r="A16517" i="1"/>
  <c r="A16516" i="1"/>
  <c r="A16515" i="1"/>
  <c r="A16514" i="1"/>
  <c r="A16513" i="1"/>
  <c r="A16512" i="1"/>
  <c r="A16511" i="1"/>
  <c r="A16510" i="1"/>
  <c r="A16509" i="1"/>
  <c r="A16508" i="1"/>
  <c r="A16507" i="1"/>
  <c r="A16506" i="1"/>
  <c r="A16505" i="1"/>
  <c r="A16504" i="1"/>
  <c r="A16503" i="1"/>
  <c r="A16502" i="1"/>
  <c r="A16501" i="1"/>
  <c r="A16500" i="1"/>
  <c r="A16499" i="1"/>
  <c r="A16498" i="1"/>
  <c r="A16497" i="1"/>
  <c r="A16496" i="1"/>
  <c r="A16495" i="1"/>
  <c r="A16494" i="1"/>
  <c r="A16493" i="1"/>
  <c r="A16492" i="1"/>
  <c r="A16491" i="1"/>
  <c r="A16490" i="1"/>
  <c r="A16489" i="1"/>
  <c r="A16488" i="1"/>
  <c r="A16487" i="1"/>
  <c r="A16486" i="1"/>
  <c r="A16485" i="1"/>
  <c r="A16484" i="1"/>
  <c r="A16483" i="1"/>
  <c r="A16482" i="1"/>
  <c r="A16481" i="1"/>
  <c r="A16480" i="1"/>
  <c r="A16479" i="1"/>
  <c r="A16478" i="1"/>
  <c r="A16477" i="1"/>
  <c r="A16476" i="1"/>
  <c r="A16475" i="1"/>
  <c r="A16474" i="1"/>
  <c r="A16473" i="1"/>
  <c r="A16472" i="1"/>
  <c r="A16471" i="1"/>
  <c r="A16470" i="1"/>
  <c r="A16469" i="1"/>
  <c r="A16468" i="1"/>
  <c r="A16467" i="1"/>
  <c r="A16466" i="1"/>
  <c r="A16465" i="1"/>
  <c r="A16464" i="1"/>
  <c r="A16463" i="1"/>
  <c r="A16462" i="1"/>
  <c r="A16461" i="1"/>
  <c r="A16460" i="1"/>
  <c r="A16459" i="1"/>
  <c r="A16458" i="1"/>
  <c r="A16457" i="1"/>
  <c r="A16456" i="1"/>
  <c r="A16455" i="1"/>
  <c r="A16454" i="1"/>
  <c r="A16453" i="1"/>
  <c r="A16452" i="1"/>
  <c r="A16451" i="1"/>
  <c r="A16450" i="1"/>
  <c r="A16449" i="1"/>
  <c r="A16448" i="1"/>
  <c r="A16447" i="1"/>
  <c r="A16446" i="1"/>
  <c r="A16445" i="1"/>
  <c r="A16444" i="1"/>
  <c r="A16443" i="1"/>
  <c r="A16442" i="1"/>
  <c r="A16441" i="1"/>
  <c r="A16440" i="1"/>
  <c r="A16439" i="1"/>
  <c r="A16438" i="1"/>
  <c r="A16437" i="1"/>
  <c r="A16436" i="1"/>
  <c r="A16435" i="1"/>
  <c r="A16434" i="1"/>
  <c r="A16433" i="1"/>
  <c r="A16432" i="1"/>
  <c r="A16431" i="1"/>
  <c r="A16430" i="1"/>
  <c r="A16429" i="1"/>
  <c r="A16428" i="1"/>
  <c r="A16427" i="1"/>
  <c r="A16426" i="1"/>
  <c r="A16425" i="1"/>
  <c r="A16424" i="1"/>
  <c r="A16423" i="1"/>
  <c r="A16422" i="1"/>
  <c r="A16421" i="1"/>
  <c r="A16420" i="1"/>
  <c r="A16419" i="1"/>
  <c r="A16418" i="1"/>
  <c r="A16417" i="1"/>
  <c r="A16416" i="1"/>
  <c r="A16415" i="1"/>
  <c r="A16414" i="1"/>
  <c r="A16413" i="1"/>
  <c r="A16412" i="1"/>
  <c r="A16411" i="1"/>
  <c r="A16410" i="1"/>
  <c r="A16409" i="1"/>
  <c r="A16408" i="1"/>
  <c r="A16407" i="1"/>
  <c r="A16406" i="1"/>
  <c r="A16405" i="1"/>
  <c r="A16404" i="1"/>
  <c r="A16403" i="1"/>
  <c r="A16402" i="1"/>
  <c r="A16401" i="1"/>
  <c r="A16400" i="1"/>
  <c r="A16399" i="1"/>
  <c r="A16398" i="1"/>
  <c r="A16397" i="1"/>
  <c r="A16396" i="1"/>
  <c r="A16395" i="1"/>
  <c r="A16394" i="1"/>
  <c r="A16393" i="1"/>
  <c r="A16392" i="1"/>
  <c r="A16391" i="1"/>
  <c r="A16390" i="1"/>
  <c r="A16389" i="1"/>
  <c r="A16388" i="1"/>
  <c r="A16387" i="1"/>
  <c r="A16386" i="1"/>
  <c r="A16385" i="1"/>
  <c r="A16384" i="1"/>
  <c r="A16383" i="1"/>
  <c r="A16382" i="1"/>
  <c r="A16381" i="1"/>
  <c r="A16380" i="1"/>
  <c r="A16379" i="1"/>
  <c r="A16378" i="1"/>
  <c r="A16377" i="1"/>
  <c r="A16376" i="1"/>
  <c r="A16375" i="1"/>
  <c r="A16374" i="1"/>
  <c r="A16373" i="1"/>
  <c r="A16372" i="1"/>
  <c r="A16371" i="1"/>
  <c r="A16370" i="1"/>
  <c r="A16369" i="1"/>
  <c r="A16368" i="1"/>
  <c r="A16367" i="1"/>
  <c r="A16366" i="1"/>
  <c r="A16365" i="1"/>
  <c r="A16364" i="1"/>
  <c r="A16363" i="1"/>
  <c r="A16362" i="1"/>
  <c r="A16361" i="1"/>
  <c r="A16360" i="1"/>
  <c r="A16359" i="1"/>
  <c r="A16358" i="1"/>
  <c r="A16357" i="1"/>
  <c r="A16356" i="1"/>
  <c r="A16355" i="1"/>
  <c r="A16354" i="1"/>
  <c r="A16353" i="1"/>
  <c r="A16352" i="1"/>
  <c r="A16351" i="1"/>
  <c r="A16350" i="1"/>
  <c r="A16349" i="1"/>
  <c r="A16348" i="1"/>
  <c r="A16347" i="1"/>
  <c r="A16346" i="1"/>
  <c r="A16345" i="1"/>
  <c r="A16344" i="1"/>
  <c r="A16343" i="1"/>
  <c r="A16342" i="1"/>
  <c r="A16341" i="1"/>
  <c r="A16340" i="1"/>
  <c r="A16339" i="1"/>
  <c r="A16338" i="1"/>
  <c r="A16337" i="1"/>
  <c r="A16336" i="1"/>
  <c r="A16335" i="1"/>
  <c r="A16334" i="1"/>
  <c r="A16333" i="1"/>
  <c r="A16332" i="1"/>
  <c r="A16331" i="1"/>
  <c r="A16330" i="1"/>
  <c r="A16329" i="1"/>
  <c r="A16328" i="1"/>
  <c r="A16327" i="1"/>
  <c r="A16326" i="1"/>
  <c r="A16325" i="1"/>
  <c r="A16324" i="1"/>
  <c r="A16323" i="1"/>
  <c r="A16322" i="1"/>
  <c r="A16321" i="1"/>
  <c r="A16320" i="1"/>
  <c r="A16319" i="1"/>
  <c r="A16318" i="1"/>
  <c r="A16317" i="1"/>
  <c r="A16316" i="1"/>
  <c r="A16315" i="1"/>
  <c r="A16314" i="1"/>
  <c r="A16313" i="1"/>
  <c r="A16312" i="1"/>
  <c r="A16311" i="1"/>
  <c r="A16310" i="1"/>
  <c r="A16309" i="1"/>
  <c r="A16308" i="1"/>
  <c r="A16307" i="1"/>
  <c r="A16306" i="1"/>
  <c r="A16305" i="1"/>
  <c r="A16304" i="1"/>
  <c r="A16303" i="1"/>
  <c r="A16302" i="1"/>
  <c r="A16301" i="1"/>
  <c r="A16300" i="1"/>
  <c r="A16299" i="1"/>
  <c r="A16298" i="1"/>
  <c r="A16297" i="1"/>
  <c r="A16296" i="1"/>
  <c r="A16295" i="1"/>
  <c r="A16294" i="1"/>
  <c r="A16293" i="1"/>
  <c r="A16292" i="1"/>
  <c r="A16291" i="1"/>
  <c r="A16290" i="1"/>
  <c r="A16289" i="1"/>
  <c r="A16288" i="1"/>
  <c r="A16287" i="1"/>
  <c r="A16286" i="1"/>
  <c r="A16285" i="1"/>
  <c r="A16284" i="1"/>
  <c r="A16283" i="1"/>
  <c r="A16282" i="1"/>
  <c r="A16281" i="1"/>
  <c r="A16280" i="1"/>
  <c r="A16279" i="1"/>
  <c r="A16278" i="1"/>
  <c r="A16277" i="1"/>
  <c r="A16276" i="1"/>
  <c r="A16275" i="1"/>
  <c r="A16274" i="1"/>
  <c r="A16273" i="1"/>
  <c r="A16272" i="1"/>
  <c r="A16271" i="1"/>
  <c r="A16270" i="1"/>
  <c r="A16269" i="1"/>
  <c r="A16268" i="1"/>
  <c r="A16267" i="1"/>
  <c r="A16266" i="1"/>
  <c r="A16265" i="1"/>
  <c r="A16264" i="1"/>
  <c r="A16263" i="1"/>
  <c r="A16262" i="1"/>
  <c r="A16261" i="1"/>
  <c r="A16260" i="1"/>
  <c r="A16259" i="1"/>
  <c r="A16258" i="1"/>
  <c r="A16257" i="1"/>
  <c r="A16256" i="1"/>
  <c r="A16255" i="1"/>
  <c r="A16254" i="1"/>
  <c r="A16253" i="1"/>
  <c r="A16252" i="1"/>
  <c r="A16251" i="1"/>
  <c r="A16250" i="1"/>
  <c r="A16249" i="1"/>
  <c r="A16248" i="1"/>
  <c r="A16247" i="1"/>
  <c r="A16246" i="1"/>
  <c r="A16245" i="1"/>
  <c r="A16244" i="1"/>
  <c r="A16243" i="1"/>
  <c r="A16242" i="1"/>
  <c r="A16241" i="1"/>
  <c r="A16240" i="1"/>
  <c r="A16239" i="1"/>
  <c r="A16238" i="1"/>
  <c r="A16237" i="1"/>
  <c r="A16236" i="1"/>
  <c r="A16235" i="1"/>
  <c r="A16234" i="1"/>
  <c r="A16233" i="1"/>
  <c r="A16232" i="1"/>
  <c r="A16231" i="1"/>
  <c r="A16230" i="1"/>
  <c r="A16229" i="1"/>
  <c r="A16228" i="1"/>
  <c r="A16227" i="1"/>
  <c r="A16226" i="1"/>
  <c r="A16225" i="1"/>
  <c r="A16224" i="1"/>
  <c r="A16223" i="1"/>
  <c r="A16222" i="1"/>
  <c r="A16221" i="1"/>
  <c r="A16220" i="1"/>
  <c r="A16219" i="1"/>
  <c r="A16218" i="1"/>
  <c r="A16217" i="1"/>
  <c r="A16216" i="1"/>
  <c r="A16215" i="1"/>
  <c r="A16214" i="1"/>
  <c r="A16213" i="1"/>
  <c r="A16212" i="1"/>
  <c r="A16211" i="1"/>
  <c r="A16210" i="1"/>
  <c r="A16209" i="1"/>
  <c r="A16208" i="1"/>
  <c r="A16207" i="1"/>
  <c r="A16206" i="1"/>
  <c r="A16205" i="1"/>
  <c r="A16204" i="1"/>
  <c r="A16203" i="1"/>
  <c r="A16202" i="1"/>
  <c r="A16201" i="1"/>
  <c r="A16200" i="1"/>
  <c r="A16199" i="1"/>
  <c r="A16198" i="1"/>
  <c r="A16197" i="1"/>
  <c r="A16196" i="1"/>
  <c r="A16195" i="1"/>
  <c r="A16194" i="1"/>
  <c r="A16193" i="1"/>
  <c r="A16192" i="1"/>
  <c r="A16191" i="1"/>
  <c r="A16190" i="1"/>
  <c r="A16189" i="1"/>
  <c r="A16188" i="1"/>
  <c r="A16187" i="1"/>
  <c r="A16186" i="1"/>
  <c r="A16185" i="1"/>
  <c r="A16184" i="1"/>
  <c r="A16183" i="1"/>
  <c r="A16182" i="1"/>
  <c r="A16181" i="1"/>
  <c r="A16180" i="1"/>
  <c r="A16179" i="1"/>
  <c r="A16178" i="1"/>
  <c r="A16177" i="1"/>
  <c r="A16176" i="1"/>
  <c r="A16175" i="1"/>
  <c r="A16174" i="1"/>
  <c r="A16173" i="1"/>
  <c r="A16172" i="1"/>
  <c r="A16171" i="1"/>
  <c r="A16170" i="1"/>
  <c r="A16169" i="1"/>
  <c r="A16168" i="1"/>
  <c r="A16167" i="1"/>
  <c r="A16166" i="1"/>
  <c r="A16165" i="1"/>
  <c r="A16164" i="1"/>
  <c r="A16163" i="1"/>
  <c r="A16162" i="1"/>
  <c r="A16161" i="1"/>
  <c r="A16160" i="1"/>
  <c r="A16159" i="1"/>
  <c r="A16158" i="1"/>
  <c r="A16157" i="1"/>
  <c r="A16156" i="1"/>
  <c r="A16155" i="1"/>
  <c r="A16154" i="1"/>
  <c r="A16153" i="1"/>
  <c r="A16152" i="1"/>
  <c r="A16151" i="1"/>
  <c r="A16150" i="1"/>
  <c r="A16149" i="1"/>
  <c r="A16148" i="1"/>
  <c r="A16147" i="1"/>
  <c r="A16146" i="1"/>
  <c r="A16145" i="1"/>
  <c r="A16144" i="1"/>
  <c r="A16143" i="1"/>
  <c r="A16142" i="1"/>
  <c r="A16141" i="1"/>
  <c r="A16140" i="1"/>
  <c r="A16139" i="1"/>
  <c r="A16138" i="1"/>
  <c r="A16137" i="1"/>
  <c r="A16136" i="1"/>
  <c r="A16135" i="1"/>
  <c r="A16134" i="1"/>
  <c r="A16133" i="1"/>
  <c r="A16132" i="1"/>
  <c r="A16131" i="1"/>
  <c r="A16130" i="1"/>
  <c r="A16129" i="1"/>
  <c r="A16128" i="1"/>
  <c r="A16127" i="1"/>
  <c r="A16126" i="1"/>
  <c r="A16125" i="1"/>
  <c r="A16124" i="1"/>
  <c r="A16123" i="1"/>
  <c r="A16122" i="1"/>
  <c r="A16121" i="1"/>
  <c r="A16120" i="1"/>
  <c r="A16119" i="1"/>
  <c r="A16118" i="1"/>
  <c r="A16117" i="1"/>
  <c r="A16116" i="1"/>
  <c r="A16115" i="1"/>
  <c r="A16114" i="1"/>
  <c r="A16113" i="1"/>
  <c r="A16112" i="1"/>
  <c r="A16111" i="1"/>
  <c r="A16110" i="1"/>
  <c r="A16109" i="1"/>
  <c r="A16108" i="1"/>
  <c r="A16107" i="1"/>
  <c r="A16106" i="1"/>
  <c r="A16105" i="1"/>
  <c r="A16104" i="1"/>
  <c r="A16103" i="1"/>
  <c r="A16102" i="1"/>
  <c r="A16101" i="1"/>
  <c r="A16100" i="1"/>
  <c r="A16099" i="1"/>
  <c r="A16098" i="1"/>
  <c r="A16097" i="1"/>
  <c r="A16096" i="1"/>
  <c r="A16095" i="1"/>
  <c r="A16094" i="1"/>
  <c r="A16093" i="1"/>
  <c r="A16092" i="1"/>
  <c r="A16091" i="1"/>
  <c r="A16090" i="1"/>
  <c r="A16089" i="1"/>
  <c r="A16088" i="1"/>
  <c r="A16087" i="1"/>
  <c r="A16086" i="1"/>
  <c r="A16085" i="1"/>
  <c r="A16084" i="1"/>
  <c r="A16083" i="1"/>
  <c r="A16082" i="1"/>
  <c r="A16081" i="1"/>
  <c r="A16080" i="1"/>
  <c r="A16079" i="1"/>
  <c r="A16078" i="1"/>
  <c r="A16077" i="1"/>
  <c r="A16076" i="1"/>
  <c r="A16075" i="1"/>
  <c r="A16074" i="1"/>
  <c r="A16073" i="1"/>
  <c r="A16072" i="1"/>
  <c r="A16071" i="1"/>
  <c r="A16070" i="1"/>
  <c r="A16069" i="1"/>
  <c r="A16068" i="1"/>
  <c r="A16067" i="1"/>
  <c r="A16066" i="1"/>
  <c r="A16065" i="1"/>
  <c r="A16064" i="1"/>
  <c r="A16063" i="1"/>
  <c r="A16062" i="1"/>
  <c r="A16061" i="1"/>
  <c r="A16060" i="1"/>
  <c r="A16059" i="1"/>
  <c r="A16058" i="1"/>
  <c r="A16057" i="1"/>
  <c r="A16056" i="1"/>
  <c r="A16055" i="1"/>
  <c r="A16054" i="1"/>
  <c r="A16053" i="1"/>
  <c r="A16052" i="1"/>
  <c r="A16051" i="1"/>
  <c r="A16050" i="1"/>
  <c r="A16049" i="1"/>
  <c r="A16048" i="1"/>
  <c r="A16047" i="1"/>
  <c r="A16046" i="1"/>
  <c r="A16045" i="1"/>
  <c r="A16044" i="1"/>
  <c r="A16043" i="1"/>
  <c r="A16042" i="1"/>
  <c r="A16041" i="1"/>
  <c r="A16040" i="1"/>
  <c r="A16039" i="1"/>
  <c r="A16038" i="1"/>
  <c r="A16037" i="1"/>
  <c r="A16036" i="1"/>
  <c r="A16035" i="1"/>
  <c r="A16034" i="1"/>
  <c r="A16033" i="1"/>
  <c r="A16032" i="1"/>
  <c r="A16031" i="1"/>
  <c r="A16030" i="1"/>
  <c r="A16029" i="1"/>
  <c r="A16028" i="1"/>
  <c r="A16027" i="1"/>
  <c r="A16026" i="1"/>
  <c r="A16025" i="1"/>
  <c r="A16024" i="1"/>
  <c r="A16023" i="1"/>
  <c r="A16022" i="1"/>
  <c r="A16021" i="1"/>
  <c r="A16020" i="1"/>
  <c r="A16019" i="1"/>
  <c r="A16018" i="1"/>
  <c r="A16017" i="1"/>
  <c r="A16016" i="1"/>
  <c r="A16015" i="1"/>
  <c r="A16014" i="1"/>
  <c r="A16013" i="1"/>
  <c r="A16012" i="1"/>
  <c r="A16011" i="1"/>
  <c r="A16010" i="1"/>
  <c r="A16009" i="1"/>
  <c r="A16008" i="1"/>
  <c r="A16007" i="1"/>
  <c r="A16006" i="1"/>
  <c r="A16005" i="1"/>
  <c r="A16004" i="1"/>
  <c r="A16003" i="1"/>
  <c r="A16002" i="1"/>
  <c r="A16001" i="1"/>
  <c r="A16000" i="1"/>
  <c r="A15999" i="1"/>
  <c r="A15998" i="1"/>
  <c r="A15997" i="1"/>
  <c r="A15996" i="1"/>
  <c r="A15995" i="1"/>
  <c r="A15994" i="1"/>
  <c r="A15993" i="1"/>
  <c r="A15992" i="1"/>
  <c r="A15991" i="1"/>
  <c r="A15990" i="1"/>
  <c r="A15989" i="1"/>
  <c r="A15988" i="1"/>
  <c r="A15987" i="1"/>
  <c r="A15986" i="1"/>
  <c r="A15985" i="1"/>
  <c r="A15984" i="1"/>
  <c r="A15983" i="1"/>
  <c r="A15982" i="1"/>
  <c r="A15981" i="1"/>
  <c r="A15980" i="1"/>
  <c r="A15979" i="1"/>
  <c r="A15978" i="1"/>
  <c r="A15977" i="1"/>
  <c r="A15976" i="1"/>
  <c r="A15975" i="1"/>
  <c r="A15974" i="1"/>
  <c r="A15973" i="1"/>
  <c r="A15972" i="1"/>
  <c r="A15971" i="1"/>
  <c r="A15970" i="1"/>
  <c r="A15969" i="1"/>
  <c r="A15968" i="1"/>
  <c r="A15967" i="1"/>
  <c r="A15966" i="1"/>
  <c r="A15965" i="1"/>
  <c r="A15964" i="1"/>
  <c r="A15963" i="1"/>
  <c r="A15962" i="1"/>
  <c r="A15961" i="1"/>
  <c r="A15960" i="1"/>
  <c r="A15959" i="1"/>
  <c r="A15958" i="1"/>
  <c r="A15957" i="1"/>
  <c r="A15956" i="1"/>
  <c r="A15955" i="1"/>
  <c r="A15954" i="1"/>
  <c r="A15953" i="1"/>
  <c r="A15952" i="1"/>
  <c r="A15951" i="1"/>
  <c r="A15950" i="1"/>
  <c r="A15949" i="1"/>
  <c r="A15948" i="1"/>
  <c r="A15947" i="1"/>
  <c r="A15946" i="1"/>
  <c r="A15945" i="1"/>
  <c r="A15944" i="1"/>
  <c r="A15943" i="1"/>
  <c r="A15942" i="1"/>
  <c r="A15941" i="1"/>
  <c r="A15940" i="1"/>
  <c r="A15939" i="1"/>
  <c r="A15938" i="1"/>
  <c r="A15937" i="1"/>
  <c r="A15936" i="1"/>
  <c r="A15935" i="1"/>
  <c r="A15934" i="1"/>
  <c r="A15933" i="1"/>
  <c r="A15932" i="1"/>
  <c r="A15931" i="1"/>
  <c r="A15930" i="1"/>
  <c r="A15929" i="1"/>
  <c r="A15928" i="1"/>
  <c r="A15927" i="1"/>
  <c r="A15926" i="1"/>
  <c r="A15925" i="1"/>
  <c r="A15924" i="1"/>
  <c r="A15923" i="1"/>
  <c r="A15922" i="1"/>
  <c r="A15921" i="1"/>
  <c r="A15920" i="1"/>
  <c r="A15919" i="1"/>
  <c r="A15918" i="1"/>
  <c r="A15917" i="1"/>
  <c r="A15916" i="1"/>
  <c r="A15915" i="1"/>
  <c r="A15914" i="1"/>
  <c r="A15913" i="1"/>
  <c r="A15912" i="1"/>
  <c r="A15911" i="1"/>
  <c r="A15910" i="1"/>
  <c r="A15909" i="1"/>
  <c r="A15908" i="1"/>
  <c r="A15907" i="1"/>
  <c r="A15906" i="1"/>
  <c r="A15905" i="1"/>
  <c r="A15904" i="1"/>
  <c r="A15903" i="1"/>
  <c r="A15902" i="1"/>
  <c r="A15901" i="1"/>
  <c r="A15900" i="1"/>
  <c r="A15899" i="1"/>
  <c r="A15898" i="1"/>
  <c r="A15897" i="1"/>
  <c r="A15896" i="1"/>
  <c r="A15895" i="1"/>
  <c r="A15894" i="1"/>
  <c r="A15893" i="1"/>
  <c r="A15892" i="1"/>
  <c r="A15891" i="1"/>
  <c r="A15890" i="1"/>
  <c r="A15889" i="1"/>
  <c r="A15888" i="1"/>
  <c r="A15887" i="1"/>
  <c r="A15886" i="1"/>
  <c r="A15885" i="1"/>
  <c r="A15884" i="1"/>
  <c r="A15883" i="1"/>
  <c r="A15882" i="1"/>
  <c r="A15881" i="1"/>
  <c r="A15880" i="1"/>
  <c r="A15879" i="1"/>
  <c r="A15878" i="1"/>
  <c r="A15877" i="1"/>
  <c r="A15876" i="1"/>
  <c r="A15875" i="1"/>
  <c r="A15874" i="1"/>
  <c r="A15873" i="1"/>
  <c r="A15872" i="1"/>
  <c r="A15871" i="1"/>
  <c r="A15870" i="1"/>
  <c r="A15869" i="1"/>
  <c r="A15868" i="1"/>
  <c r="A15867" i="1"/>
  <c r="A15866" i="1"/>
  <c r="A15865" i="1"/>
  <c r="A15864" i="1"/>
  <c r="A15863" i="1"/>
  <c r="A15862" i="1"/>
  <c r="A15861" i="1"/>
  <c r="A15860" i="1"/>
  <c r="A15859" i="1"/>
  <c r="A15858" i="1"/>
  <c r="A15857" i="1"/>
  <c r="A15856" i="1"/>
  <c r="A15855" i="1"/>
  <c r="A15854" i="1"/>
  <c r="A15853" i="1"/>
  <c r="A15852" i="1"/>
  <c r="A15851" i="1"/>
  <c r="A15850" i="1"/>
  <c r="A15849" i="1"/>
  <c r="A15848" i="1"/>
  <c r="A15847" i="1"/>
  <c r="A15846" i="1"/>
  <c r="A15845" i="1"/>
  <c r="A15844" i="1"/>
  <c r="A15843" i="1"/>
  <c r="A15842" i="1"/>
  <c r="A15841" i="1"/>
  <c r="A15840" i="1"/>
  <c r="A15839" i="1"/>
  <c r="A15838" i="1"/>
  <c r="A15837" i="1"/>
  <c r="A15836" i="1"/>
  <c r="A15835" i="1"/>
  <c r="A15834" i="1"/>
  <c r="A15833" i="1"/>
  <c r="A15832" i="1"/>
  <c r="A15831" i="1"/>
  <c r="A15830" i="1"/>
  <c r="A15829" i="1"/>
  <c r="A15828" i="1"/>
  <c r="A15827" i="1"/>
  <c r="A15826" i="1"/>
  <c r="A15825" i="1"/>
  <c r="A15824" i="1"/>
  <c r="A15823" i="1"/>
  <c r="A15822" i="1"/>
  <c r="A15821" i="1"/>
  <c r="A15820" i="1"/>
  <c r="A15819" i="1"/>
  <c r="A15818" i="1"/>
  <c r="A15817" i="1"/>
  <c r="A15816" i="1"/>
  <c r="A15815" i="1"/>
  <c r="A15814" i="1"/>
  <c r="A15813" i="1"/>
  <c r="A15812" i="1"/>
  <c r="A15811" i="1"/>
  <c r="A15810" i="1"/>
  <c r="A15809" i="1"/>
  <c r="A15808" i="1"/>
  <c r="A15807" i="1"/>
  <c r="A15806" i="1"/>
  <c r="A15805" i="1"/>
  <c r="A15804" i="1"/>
  <c r="A15803" i="1"/>
  <c r="A15802" i="1"/>
  <c r="A15801" i="1"/>
  <c r="A15800" i="1"/>
  <c r="A15799" i="1"/>
  <c r="A15798" i="1"/>
  <c r="A15797" i="1"/>
  <c r="A15796" i="1"/>
  <c r="A15795" i="1"/>
  <c r="A15794" i="1"/>
  <c r="A15793" i="1"/>
  <c r="A15792" i="1"/>
  <c r="A15791" i="1"/>
  <c r="A15790" i="1"/>
  <c r="A15789" i="1"/>
  <c r="A15788" i="1"/>
  <c r="A15787" i="1"/>
  <c r="A15786" i="1"/>
  <c r="A15785" i="1"/>
  <c r="A15784" i="1"/>
  <c r="A15783" i="1"/>
  <c r="A15782" i="1"/>
  <c r="A15781" i="1"/>
  <c r="A15780" i="1"/>
  <c r="A15779" i="1"/>
  <c r="A15778" i="1"/>
  <c r="A15777" i="1"/>
  <c r="A15776" i="1"/>
  <c r="A15775" i="1"/>
  <c r="A15774" i="1"/>
  <c r="A15773" i="1"/>
  <c r="A15772" i="1"/>
  <c r="A15771" i="1"/>
  <c r="A15770" i="1"/>
  <c r="A15769" i="1"/>
  <c r="A15768" i="1"/>
  <c r="A15767" i="1"/>
  <c r="A15766" i="1"/>
  <c r="A15765" i="1"/>
  <c r="A15764" i="1"/>
  <c r="A15763" i="1"/>
  <c r="A15762" i="1"/>
  <c r="A15761" i="1"/>
  <c r="A15760" i="1"/>
  <c r="A15759" i="1"/>
  <c r="A15758" i="1"/>
  <c r="A15757" i="1"/>
  <c r="A15756" i="1"/>
  <c r="A15755" i="1"/>
  <c r="A15754" i="1"/>
  <c r="A15753" i="1"/>
  <c r="A15752" i="1"/>
  <c r="A15751" i="1"/>
  <c r="A15750" i="1"/>
  <c r="A15749" i="1"/>
  <c r="A15748" i="1"/>
  <c r="A15747" i="1"/>
  <c r="A15746" i="1"/>
  <c r="A15745" i="1"/>
  <c r="A15744" i="1"/>
  <c r="A15743" i="1"/>
  <c r="A15742" i="1"/>
  <c r="A15741" i="1"/>
  <c r="A15740" i="1"/>
  <c r="A15739" i="1"/>
  <c r="A15738" i="1"/>
  <c r="A15737" i="1"/>
  <c r="A15736" i="1"/>
  <c r="A15735" i="1"/>
  <c r="A15734" i="1"/>
  <c r="A15733" i="1"/>
  <c r="A15732" i="1"/>
  <c r="A15731" i="1"/>
  <c r="A15730" i="1"/>
  <c r="A15729" i="1"/>
  <c r="A15728" i="1"/>
  <c r="A15727" i="1"/>
  <c r="A15726" i="1"/>
  <c r="A15725" i="1"/>
  <c r="A15724" i="1"/>
  <c r="A15723" i="1"/>
  <c r="A15722" i="1"/>
  <c r="A15721" i="1"/>
  <c r="A15720" i="1"/>
  <c r="A15719" i="1"/>
  <c r="A15718" i="1"/>
  <c r="A15717" i="1"/>
  <c r="A15716" i="1"/>
  <c r="A15715" i="1"/>
  <c r="A15714" i="1"/>
  <c r="A15713" i="1"/>
  <c r="A15712" i="1"/>
  <c r="A15711" i="1"/>
  <c r="A15710" i="1"/>
  <c r="A15709" i="1"/>
  <c r="A15708" i="1"/>
  <c r="A15707" i="1"/>
  <c r="A15706" i="1"/>
  <c r="A15705" i="1"/>
  <c r="A15704" i="1"/>
  <c r="A15703" i="1"/>
  <c r="A15702" i="1"/>
  <c r="A15701" i="1"/>
  <c r="A15700" i="1"/>
  <c r="A15699" i="1"/>
  <c r="A15698" i="1"/>
  <c r="A15697" i="1"/>
  <c r="A15696" i="1"/>
  <c r="A15695" i="1"/>
  <c r="A15694" i="1"/>
  <c r="A15693" i="1"/>
  <c r="A15692" i="1"/>
  <c r="A15691" i="1"/>
  <c r="A15690" i="1"/>
  <c r="A15689" i="1"/>
  <c r="A15688" i="1"/>
  <c r="A15687" i="1"/>
  <c r="A15686" i="1"/>
  <c r="A15685" i="1"/>
  <c r="A15684" i="1"/>
  <c r="A15683" i="1"/>
  <c r="A15682" i="1"/>
  <c r="A15681" i="1"/>
  <c r="A15680" i="1"/>
  <c r="A15679" i="1"/>
  <c r="A15678" i="1"/>
  <c r="A15677" i="1"/>
  <c r="A15676" i="1"/>
  <c r="A15675" i="1"/>
  <c r="A15674" i="1"/>
  <c r="A15673" i="1"/>
  <c r="A15672" i="1"/>
  <c r="A15671" i="1"/>
  <c r="A15670" i="1"/>
  <c r="A15669" i="1"/>
  <c r="A15668" i="1"/>
  <c r="A15667" i="1"/>
  <c r="A15666" i="1"/>
  <c r="A15665" i="1"/>
  <c r="A15664" i="1"/>
  <c r="A15663" i="1"/>
  <c r="A15662" i="1"/>
  <c r="A15661" i="1"/>
  <c r="A15660" i="1"/>
  <c r="A15659" i="1"/>
  <c r="A15658" i="1"/>
  <c r="A15657" i="1"/>
  <c r="A15656" i="1"/>
  <c r="A15655" i="1"/>
  <c r="A15654" i="1"/>
  <c r="A15653" i="1"/>
  <c r="A15652" i="1"/>
  <c r="A15651" i="1"/>
  <c r="A15650" i="1"/>
  <c r="A15649" i="1"/>
  <c r="A15648" i="1"/>
  <c r="A15647" i="1"/>
  <c r="A15646" i="1"/>
  <c r="A15645" i="1"/>
  <c r="A15644" i="1"/>
  <c r="A15643" i="1"/>
  <c r="A15642" i="1"/>
  <c r="A15641" i="1"/>
  <c r="A15640" i="1"/>
  <c r="A15639" i="1"/>
  <c r="A15638" i="1"/>
  <c r="A15637" i="1"/>
  <c r="A15636" i="1"/>
  <c r="A15635" i="1"/>
  <c r="A15634" i="1"/>
  <c r="A15633" i="1"/>
  <c r="A15632" i="1"/>
  <c r="A15631" i="1"/>
  <c r="A15630" i="1"/>
  <c r="A15629" i="1"/>
  <c r="A15628" i="1"/>
  <c r="A15627" i="1"/>
  <c r="A15626" i="1"/>
  <c r="A15625" i="1"/>
  <c r="A15624" i="1"/>
  <c r="A15623" i="1"/>
  <c r="A15622" i="1"/>
  <c r="A15621" i="1"/>
  <c r="A15620" i="1"/>
  <c r="A15619" i="1"/>
  <c r="A15618" i="1"/>
  <c r="A15617" i="1"/>
  <c r="A15616" i="1"/>
  <c r="A15615" i="1"/>
  <c r="A15614" i="1"/>
  <c r="A15613" i="1"/>
  <c r="A15612" i="1"/>
  <c r="A15611" i="1"/>
  <c r="A15610" i="1"/>
  <c r="A15609" i="1"/>
  <c r="A15608" i="1"/>
  <c r="A15607" i="1"/>
  <c r="A15606" i="1"/>
  <c r="A15605" i="1"/>
  <c r="A15604" i="1"/>
  <c r="A15603" i="1"/>
  <c r="A15602" i="1"/>
  <c r="A15601" i="1"/>
  <c r="A15600" i="1"/>
  <c r="A15599" i="1"/>
  <c r="A15598" i="1"/>
  <c r="A15597" i="1"/>
  <c r="A15596" i="1"/>
  <c r="A15595" i="1"/>
  <c r="A15594" i="1"/>
  <c r="A15593" i="1"/>
  <c r="A15592" i="1"/>
  <c r="A15591" i="1"/>
  <c r="A15590" i="1"/>
  <c r="A15589" i="1"/>
  <c r="A15588" i="1"/>
  <c r="A15587" i="1"/>
  <c r="A15586" i="1"/>
  <c r="A15585" i="1"/>
  <c r="A15584" i="1"/>
  <c r="A15583" i="1"/>
  <c r="A15582" i="1"/>
  <c r="A15581" i="1"/>
  <c r="A15580" i="1"/>
  <c r="A15579" i="1"/>
  <c r="A15578" i="1"/>
  <c r="A15577" i="1"/>
  <c r="A15576" i="1"/>
  <c r="A15575" i="1"/>
  <c r="A15574" i="1"/>
  <c r="A15573" i="1"/>
  <c r="A15572" i="1"/>
  <c r="A15571" i="1"/>
  <c r="A15570" i="1"/>
  <c r="A15569" i="1"/>
  <c r="A15568" i="1"/>
  <c r="A15567" i="1"/>
  <c r="A15566" i="1"/>
  <c r="A15565" i="1"/>
  <c r="A15564" i="1"/>
  <c r="A15563" i="1"/>
  <c r="A15562" i="1"/>
  <c r="A15561" i="1"/>
  <c r="A15560" i="1"/>
  <c r="A15559" i="1"/>
  <c r="A15558" i="1"/>
  <c r="A15557" i="1"/>
  <c r="A15556" i="1"/>
  <c r="A15555" i="1"/>
  <c r="A15554" i="1"/>
  <c r="A15553" i="1"/>
  <c r="A15552" i="1"/>
  <c r="A15551" i="1"/>
  <c r="A15550" i="1"/>
  <c r="A15549" i="1"/>
  <c r="A15548" i="1"/>
  <c r="A15547" i="1"/>
  <c r="A15546" i="1"/>
  <c r="A15545" i="1"/>
  <c r="A15544" i="1"/>
  <c r="A15543" i="1"/>
  <c r="A15542" i="1"/>
  <c r="A15541" i="1"/>
  <c r="A15540" i="1"/>
  <c r="A15539" i="1"/>
  <c r="A15538" i="1"/>
  <c r="A15537" i="1"/>
  <c r="A15536" i="1"/>
  <c r="A15535" i="1"/>
  <c r="A15534" i="1"/>
  <c r="A15533" i="1"/>
  <c r="A15532" i="1"/>
  <c r="A15531" i="1"/>
  <c r="A15530" i="1"/>
  <c r="A15529" i="1"/>
  <c r="A15528" i="1"/>
  <c r="A15527" i="1"/>
  <c r="A15526" i="1"/>
  <c r="A15525" i="1"/>
  <c r="A15524" i="1"/>
  <c r="A15523" i="1"/>
  <c r="A15522" i="1"/>
  <c r="A15521" i="1"/>
  <c r="A15520" i="1"/>
  <c r="A15519" i="1"/>
  <c r="A15518" i="1"/>
  <c r="A15517" i="1"/>
  <c r="A15516" i="1"/>
  <c r="A15515" i="1"/>
  <c r="A15514" i="1"/>
  <c r="A15513" i="1"/>
  <c r="A15512" i="1"/>
  <c r="A15511" i="1"/>
  <c r="A15510" i="1"/>
  <c r="A15509" i="1"/>
  <c r="A15508" i="1"/>
  <c r="A15507" i="1"/>
  <c r="A15506" i="1"/>
  <c r="A15505" i="1"/>
  <c r="A15504" i="1"/>
  <c r="A15503" i="1"/>
  <c r="A15502" i="1"/>
  <c r="A15501" i="1"/>
  <c r="A15500" i="1"/>
  <c r="A15499" i="1"/>
  <c r="A15498" i="1"/>
  <c r="A15497" i="1"/>
  <c r="A15496" i="1"/>
  <c r="A15495" i="1"/>
  <c r="A15494" i="1"/>
  <c r="A15493" i="1"/>
  <c r="A15492" i="1"/>
  <c r="A15491" i="1"/>
  <c r="A15490" i="1"/>
  <c r="A15489" i="1"/>
  <c r="A15488" i="1"/>
  <c r="A15487" i="1"/>
  <c r="A15486" i="1"/>
  <c r="A15485" i="1"/>
  <c r="A15484" i="1"/>
  <c r="A15483" i="1"/>
  <c r="A15482" i="1"/>
  <c r="A15481" i="1"/>
  <c r="A15480" i="1"/>
  <c r="A15479" i="1"/>
  <c r="A15478" i="1"/>
  <c r="A15477" i="1"/>
  <c r="A15476" i="1"/>
  <c r="A15475" i="1"/>
  <c r="A15474" i="1"/>
  <c r="A15473" i="1"/>
  <c r="A15472" i="1"/>
  <c r="A15471" i="1"/>
  <c r="A15470" i="1"/>
  <c r="A15469" i="1"/>
  <c r="A15468" i="1"/>
  <c r="A15467" i="1"/>
  <c r="A15466" i="1"/>
  <c r="A15465" i="1"/>
  <c r="A15464" i="1"/>
  <c r="A15463" i="1"/>
  <c r="A15462" i="1"/>
  <c r="A15461" i="1"/>
  <c r="A15460" i="1"/>
  <c r="A15459" i="1"/>
  <c r="A15458" i="1"/>
  <c r="A15457" i="1"/>
  <c r="A15456" i="1"/>
  <c r="A15455" i="1"/>
  <c r="A15454" i="1"/>
  <c r="A15453" i="1"/>
  <c r="A15452" i="1"/>
  <c r="A15451" i="1"/>
  <c r="A15450" i="1"/>
  <c r="A15449" i="1"/>
  <c r="A15448" i="1"/>
  <c r="A15447" i="1"/>
  <c r="A15446" i="1"/>
  <c r="A15445" i="1"/>
  <c r="A15444" i="1"/>
  <c r="A15443" i="1"/>
  <c r="A15442" i="1"/>
  <c r="A15441" i="1"/>
  <c r="A15440" i="1"/>
  <c r="A15439" i="1"/>
  <c r="A15438" i="1"/>
  <c r="A15437" i="1"/>
  <c r="A15436" i="1"/>
  <c r="A15435" i="1"/>
  <c r="A15434" i="1"/>
  <c r="A15433" i="1"/>
  <c r="A15432" i="1"/>
  <c r="A15431" i="1"/>
  <c r="A15430" i="1"/>
  <c r="A15429" i="1"/>
  <c r="A15428" i="1"/>
  <c r="A15427" i="1"/>
  <c r="A15426" i="1"/>
  <c r="A15425" i="1"/>
  <c r="A15424" i="1"/>
  <c r="A15423" i="1"/>
  <c r="A15422" i="1"/>
  <c r="A15421" i="1"/>
  <c r="A15420" i="1"/>
  <c r="A15419" i="1"/>
  <c r="A15418" i="1"/>
  <c r="A15417" i="1"/>
  <c r="A15416" i="1"/>
  <c r="A15415" i="1"/>
  <c r="A15414" i="1"/>
  <c r="A15413" i="1"/>
  <c r="A15412" i="1"/>
  <c r="A15411" i="1"/>
  <c r="A15410" i="1"/>
  <c r="A15409" i="1"/>
  <c r="A15408" i="1"/>
  <c r="A15407" i="1"/>
  <c r="A15406" i="1"/>
  <c r="A15405" i="1"/>
  <c r="A15404" i="1"/>
  <c r="A15403" i="1"/>
  <c r="A15402" i="1"/>
  <c r="A15401" i="1"/>
  <c r="A15400" i="1"/>
  <c r="A15399" i="1"/>
  <c r="A15398" i="1"/>
  <c r="A15397" i="1"/>
  <c r="A15396" i="1"/>
  <c r="A15395" i="1"/>
  <c r="A15394" i="1"/>
  <c r="A15393" i="1"/>
  <c r="A15392" i="1"/>
  <c r="A15391" i="1"/>
  <c r="A15390" i="1"/>
  <c r="A15389" i="1"/>
  <c r="A15388" i="1"/>
  <c r="A15387" i="1"/>
  <c r="A15386" i="1"/>
  <c r="A15385" i="1"/>
  <c r="A15384" i="1"/>
  <c r="A15383" i="1"/>
  <c r="A15382" i="1"/>
  <c r="A15381" i="1"/>
  <c r="A15380" i="1"/>
  <c r="A15379" i="1"/>
  <c r="A15378" i="1"/>
  <c r="A15377" i="1"/>
  <c r="A15376" i="1"/>
  <c r="A15375" i="1"/>
  <c r="A15374" i="1"/>
  <c r="A15373" i="1"/>
  <c r="A15372" i="1"/>
  <c r="A15371" i="1"/>
  <c r="A15370" i="1"/>
  <c r="A15369" i="1"/>
  <c r="A15368" i="1"/>
  <c r="A15367" i="1"/>
  <c r="A15366" i="1"/>
  <c r="A15365" i="1"/>
  <c r="A15364" i="1"/>
  <c r="A15363" i="1"/>
  <c r="A15362" i="1"/>
  <c r="A15361" i="1"/>
  <c r="A15360" i="1"/>
  <c r="A15359" i="1"/>
  <c r="A15358" i="1"/>
  <c r="A15357" i="1"/>
  <c r="A15356" i="1"/>
  <c r="A15355" i="1"/>
  <c r="A15354" i="1"/>
  <c r="A15353" i="1"/>
  <c r="A15352" i="1"/>
  <c r="A15351" i="1"/>
  <c r="A15350" i="1"/>
  <c r="A15349" i="1"/>
  <c r="A15348" i="1"/>
  <c r="A15347" i="1"/>
  <c r="A15346" i="1"/>
  <c r="A15345" i="1"/>
  <c r="A15344" i="1"/>
  <c r="A15343" i="1"/>
  <c r="A15342" i="1"/>
  <c r="A15341" i="1"/>
  <c r="A15340" i="1"/>
  <c r="A15339" i="1"/>
  <c r="A15338" i="1"/>
  <c r="A15337" i="1"/>
  <c r="A15336" i="1"/>
  <c r="A15335" i="1"/>
  <c r="A15334" i="1"/>
  <c r="A15333" i="1"/>
  <c r="A15332" i="1"/>
  <c r="A15331" i="1"/>
  <c r="A15330" i="1"/>
  <c r="A15329" i="1"/>
  <c r="A15328" i="1"/>
  <c r="A15327" i="1"/>
  <c r="A15326" i="1"/>
  <c r="A15325" i="1"/>
  <c r="A15324" i="1"/>
  <c r="A15323" i="1"/>
  <c r="A15322" i="1"/>
  <c r="A15321" i="1"/>
  <c r="A15320" i="1"/>
  <c r="A15319" i="1"/>
  <c r="A15318" i="1"/>
  <c r="A15317" i="1"/>
  <c r="A15316" i="1"/>
  <c r="A15315" i="1"/>
  <c r="A15314" i="1"/>
  <c r="A15313" i="1"/>
  <c r="A15312" i="1"/>
  <c r="A15311" i="1"/>
  <c r="A15310" i="1"/>
  <c r="A15309" i="1"/>
  <c r="A15308" i="1"/>
  <c r="A15307" i="1"/>
  <c r="A15306" i="1"/>
  <c r="A15305" i="1"/>
  <c r="A15304" i="1"/>
  <c r="A15303" i="1"/>
  <c r="A15302" i="1"/>
  <c r="A15301" i="1"/>
  <c r="A15300" i="1"/>
  <c r="A15299" i="1"/>
  <c r="A15298" i="1"/>
  <c r="A15297" i="1"/>
  <c r="A15296" i="1"/>
  <c r="A15295" i="1"/>
  <c r="A15294" i="1"/>
  <c r="A15293" i="1"/>
  <c r="A15292" i="1"/>
  <c r="A15291" i="1"/>
  <c r="A15290" i="1"/>
  <c r="A15289" i="1"/>
  <c r="A15288" i="1"/>
  <c r="A15287" i="1"/>
  <c r="A15286" i="1"/>
  <c r="A15285" i="1"/>
  <c r="A15284" i="1"/>
  <c r="A15283" i="1"/>
  <c r="A15282" i="1"/>
  <c r="A15281" i="1"/>
  <c r="A15280" i="1"/>
  <c r="A15279" i="1"/>
  <c r="A15278" i="1"/>
  <c r="A15277" i="1"/>
  <c r="A15276" i="1"/>
  <c r="A15275" i="1"/>
  <c r="A15274" i="1"/>
  <c r="A15273" i="1"/>
  <c r="A15272" i="1"/>
  <c r="A15271" i="1"/>
  <c r="A15270" i="1"/>
  <c r="A15269" i="1"/>
  <c r="A15268" i="1"/>
  <c r="A15267" i="1"/>
  <c r="A15266" i="1"/>
  <c r="A15265" i="1"/>
  <c r="A15264" i="1"/>
  <c r="A15263" i="1"/>
  <c r="A15262" i="1"/>
  <c r="A15261" i="1"/>
  <c r="A15260" i="1"/>
  <c r="A15259" i="1"/>
  <c r="A15258" i="1"/>
  <c r="A15257" i="1"/>
  <c r="A15256" i="1"/>
  <c r="A15255" i="1"/>
  <c r="A15254" i="1"/>
  <c r="A15253" i="1"/>
  <c r="A15252" i="1"/>
  <c r="A15251" i="1"/>
  <c r="A15250" i="1"/>
  <c r="A15249" i="1"/>
  <c r="A15248" i="1"/>
  <c r="A15247" i="1"/>
  <c r="A15246" i="1"/>
  <c r="A15245" i="1"/>
  <c r="A15244" i="1"/>
  <c r="A15243" i="1"/>
  <c r="A15242" i="1"/>
  <c r="A15241" i="1"/>
  <c r="A15240" i="1"/>
  <c r="A15239" i="1"/>
  <c r="A15238" i="1"/>
  <c r="A15237" i="1"/>
  <c r="A15236" i="1"/>
  <c r="A15235" i="1"/>
  <c r="A15234" i="1"/>
  <c r="A15233" i="1"/>
  <c r="A15232" i="1"/>
  <c r="A15231" i="1"/>
  <c r="A15230" i="1"/>
  <c r="A15229" i="1"/>
  <c r="A15228" i="1"/>
  <c r="A15227" i="1"/>
  <c r="A15226" i="1"/>
  <c r="A15225" i="1"/>
  <c r="A15224" i="1"/>
  <c r="A15223" i="1"/>
  <c r="A15222" i="1"/>
  <c r="A15221" i="1"/>
  <c r="A15220" i="1"/>
  <c r="A15219" i="1"/>
  <c r="A15218" i="1"/>
  <c r="A15217" i="1"/>
  <c r="A15216" i="1"/>
  <c r="A15215" i="1"/>
  <c r="A15214" i="1"/>
  <c r="A15213" i="1"/>
  <c r="A15212" i="1"/>
  <c r="A15211" i="1"/>
  <c r="A15210" i="1"/>
  <c r="A15209" i="1"/>
  <c r="A15208" i="1"/>
  <c r="A15207" i="1"/>
  <c r="A15206" i="1"/>
  <c r="A15205" i="1"/>
  <c r="A15204" i="1"/>
  <c r="A15203" i="1"/>
  <c r="A15202" i="1"/>
  <c r="A15201" i="1"/>
  <c r="A15200" i="1"/>
  <c r="A15199" i="1"/>
  <c r="A15198" i="1"/>
  <c r="A15197" i="1"/>
  <c r="A15196" i="1"/>
  <c r="A15195" i="1"/>
  <c r="A15194" i="1"/>
  <c r="A15193" i="1"/>
  <c r="A15192" i="1"/>
  <c r="A15191" i="1"/>
  <c r="A15190" i="1"/>
  <c r="A15189" i="1"/>
  <c r="A15188" i="1"/>
  <c r="A15187" i="1"/>
  <c r="A15186" i="1"/>
  <c r="A15185" i="1"/>
  <c r="A15184" i="1"/>
  <c r="A15183" i="1"/>
  <c r="A15182" i="1"/>
  <c r="A15181" i="1"/>
  <c r="A15180" i="1"/>
  <c r="A15179" i="1"/>
  <c r="A15178" i="1"/>
  <c r="A15177" i="1"/>
  <c r="A15176" i="1"/>
  <c r="A15175" i="1"/>
  <c r="A15174" i="1"/>
  <c r="A15173" i="1"/>
  <c r="A15172" i="1"/>
  <c r="A15171" i="1"/>
  <c r="A15170" i="1"/>
  <c r="A15169" i="1"/>
  <c r="A15168" i="1"/>
  <c r="A15167" i="1"/>
  <c r="A15166" i="1"/>
  <c r="A15165" i="1"/>
  <c r="A15164" i="1"/>
  <c r="A15163" i="1"/>
  <c r="A15162" i="1"/>
  <c r="A15161" i="1"/>
  <c r="A15160" i="1"/>
  <c r="A15159" i="1"/>
  <c r="A15158" i="1"/>
  <c r="A15157" i="1"/>
  <c r="A15156" i="1"/>
  <c r="A15155" i="1"/>
  <c r="A15154" i="1"/>
  <c r="A15153" i="1"/>
  <c r="A15152" i="1"/>
  <c r="A15151" i="1"/>
  <c r="A15150" i="1"/>
  <c r="A15149" i="1"/>
  <c r="A15148" i="1"/>
  <c r="A15147" i="1"/>
  <c r="A15146" i="1"/>
  <c r="A15145" i="1"/>
  <c r="A15144" i="1"/>
  <c r="A15143" i="1"/>
  <c r="A15142" i="1"/>
  <c r="A15141" i="1"/>
  <c r="A15140" i="1"/>
  <c r="A15139" i="1"/>
  <c r="A15138" i="1"/>
  <c r="A15137" i="1"/>
  <c r="A15136" i="1"/>
  <c r="A15135" i="1"/>
  <c r="A15134" i="1"/>
  <c r="A15133" i="1"/>
  <c r="A15132" i="1"/>
  <c r="A15131" i="1"/>
  <c r="A15130" i="1"/>
  <c r="A15129" i="1"/>
  <c r="A15128" i="1"/>
  <c r="A15127" i="1"/>
  <c r="A15126" i="1"/>
  <c r="A15125" i="1"/>
  <c r="A15124" i="1"/>
  <c r="A15123" i="1"/>
  <c r="A15122" i="1"/>
  <c r="A15121" i="1"/>
  <c r="A15120" i="1"/>
  <c r="A15119" i="1"/>
  <c r="A15118" i="1"/>
  <c r="A15117" i="1"/>
  <c r="A15116" i="1"/>
  <c r="A15115" i="1"/>
  <c r="A15114" i="1"/>
  <c r="A15113" i="1"/>
  <c r="A15112" i="1"/>
  <c r="A15111" i="1"/>
  <c r="A15110" i="1"/>
  <c r="A15109" i="1"/>
  <c r="A15108" i="1"/>
  <c r="A15107" i="1"/>
  <c r="A15106" i="1"/>
  <c r="A15105" i="1"/>
  <c r="A15104" i="1"/>
  <c r="A15103" i="1"/>
  <c r="A15102" i="1"/>
  <c r="A15101" i="1"/>
  <c r="A15100" i="1"/>
  <c r="A15099" i="1"/>
  <c r="A15098" i="1"/>
  <c r="A15097" i="1"/>
  <c r="A15096" i="1"/>
  <c r="A15095" i="1"/>
  <c r="A15094" i="1"/>
  <c r="A15093" i="1"/>
  <c r="A15092" i="1"/>
  <c r="A15091" i="1"/>
  <c r="A15090" i="1"/>
  <c r="A15089" i="1"/>
  <c r="A15088" i="1"/>
  <c r="A15087" i="1"/>
  <c r="A15086" i="1"/>
  <c r="A15085" i="1"/>
  <c r="A15084" i="1"/>
  <c r="A15083" i="1"/>
  <c r="A15082" i="1"/>
  <c r="A15081" i="1"/>
  <c r="A15080" i="1"/>
  <c r="A15079" i="1"/>
  <c r="A15078" i="1"/>
  <c r="A15077" i="1"/>
  <c r="A15076" i="1"/>
  <c r="A15075" i="1"/>
  <c r="A15074" i="1"/>
  <c r="A15073" i="1"/>
  <c r="A15072" i="1"/>
  <c r="A15071" i="1"/>
  <c r="A15070" i="1"/>
  <c r="A15069" i="1"/>
  <c r="A15068" i="1"/>
  <c r="A15067" i="1"/>
  <c r="A15066" i="1"/>
  <c r="A15065" i="1"/>
  <c r="A15064" i="1"/>
  <c r="A15063" i="1"/>
  <c r="A15062" i="1"/>
  <c r="A15061" i="1"/>
  <c r="A15060" i="1"/>
  <c r="A15059" i="1"/>
  <c r="A15058" i="1"/>
  <c r="A15057" i="1"/>
  <c r="A15056" i="1"/>
  <c r="A15055" i="1"/>
  <c r="A15054" i="1"/>
  <c r="A15053" i="1"/>
  <c r="A15052" i="1"/>
  <c r="A15051" i="1"/>
  <c r="A15050" i="1"/>
  <c r="A15049" i="1"/>
  <c r="A15048" i="1"/>
  <c r="A15047" i="1"/>
  <c r="A15046" i="1"/>
  <c r="A15045" i="1"/>
  <c r="A15044" i="1"/>
  <c r="A15043" i="1"/>
  <c r="A15042" i="1"/>
  <c r="A15041" i="1"/>
  <c r="A15040" i="1"/>
  <c r="A15039" i="1"/>
  <c r="A15038" i="1"/>
  <c r="A15037" i="1"/>
  <c r="A15036" i="1"/>
  <c r="A15035" i="1"/>
  <c r="A15034" i="1"/>
  <c r="A15033" i="1"/>
  <c r="A15032" i="1"/>
  <c r="A15031" i="1"/>
  <c r="A15030" i="1"/>
  <c r="A15029" i="1"/>
  <c r="A15028" i="1"/>
  <c r="A15027" i="1"/>
  <c r="A15026" i="1"/>
  <c r="A15025" i="1"/>
  <c r="A15024" i="1"/>
  <c r="A15023" i="1"/>
  <c r="A15022" i="1"/>
  <c r="A15021" i="1"/>
  <c r="A15020" i="1"/>
  <c r="A15019" i="1"/>
  <c r="A15018" i="1"/>
  <c r="A15017" i="1"/>
  <c r="A15016" i="1"/>
  <c r="A15015" i="1"/>
  <c r="A15014" i="1"/>
  <c r="A15013" i="1"/>
  <c r="A15012" i="1"/>
  <c r="A15011" i="1"/>
  <c r="A15010" i="1"/>
  <c r="A15009" i="1"/>
  <c r="A15008" i="1"/>
  <c r="A15007" i="1"/>
  <c r="A15006" i="1"/>
  <c r="A15005" i="1"/>
  <c r="A15004" i="1"/>
  <c r="A15003" i="1"/>
  <c r="A15002" i="1"/>
  <c r="A15001" i="1"/>
  <c r="A15000" i="1"/>
  <c r="A14999" i="1"/>
  <c r="A14998" i="1"/>
  <c r="A14997" i="1"/>
  <c r="A14996" i="1"/>
  <c r="A14995" i="1"/>
  <c r="A14994" i="1"/>
  <c r="A14993" i="1"/>
  <c r="A14992" i="1"/>
  <c r="A14991" i="1"/>
  <c r="A14990" i="1"/>
  <c r="A14989" i="1"/>
  <c r="A14988" i="1"/>
  <c r="A14987" i="1"/>
  <c r="A14986" i="1"/>
  <c r="A14985" i="1"/>
  <c r="A14984" i="1"/>
  <c r="A14983" i="1"/>
  <c r="A14982" i="1"/>
  <c r="A14981" i="1"/>
  <c r="A14980" i="1"/>
  <c r="A14979" i="1"/>
  <c r="A14978" i="1"/>
  <c r="A14977" i="1"/>
  <c r="A14976" i="1"/>
  <c r="A14975" i="1"/>
  <c r="A14974" i="1"/>
  <c r="A14973" i="1"/>
  <c r="A14972" i="1"/>
  <c r="A14971" i="1"/>
  <c r="A14970" i="1"/>
  <c r="A14969" i="1"/>
  <c r="A14968" i="1"/>
  <c r="A14967" i="1"/>
  <c r="A14966" i="1"/>
  <c r="A14965" i="1"/>
  <c r="A14964" i="1"/>
  <c r="A14963" i="1"/>
  <c r="A14962" i="1"/>
  <c r="A14961" i="1"/>
  <c r="A14960" i="1"/>
  <c r="A14959" i="1"/>
  <c r="A14958" i="1"/>
  <c r="A14957" i="1"/>
  <c r="A14956" i="1"/>
  <c r="A14955" i="1"/>
  <c r="A14954" i="1"/>
  <c r="A14953" i="1"/>
  <c r="A14952" i="1"/>
  <c r="A14951" i="1"/>
  <c r="A14950" i="1"/>
  <c r="A14949" i="1"/>
  <c r="A14948" i="1"/>
  <c r="A14947" i="1"/>
  <c r="A14946" i="1"/>
  <c r="A14945" i="1"/>
  <c r="A14944" i="1"/>
  <c r="A14943" i="1"/>
  <c r="A14942" i="1"/>
  <c r="A14941" i="1"/>
  <c r="A14940" i="1"/>
  <c r="A14939" i="1"/>
  <c r="A14938" i="1"/>
  <c r="A14937" i="1"/>
  <c r="A14936" i="1"/>
  <c r="A14935" i="1"/>
  <c r="A14934" i="1"/>
  <c r="A14933" i="1"/>
  <c r="A14932" i="1"/>
  <c r="A14931" i="1"/>
  <c r="A14930" i="1"/>
  <c r="A14929" i="1"/>
  <c r="A14928" i="1"/>
  <c r="A14927" i="1"/>
  <c r="A14926" i="1"/>
  <c r="A14925" i="1"/>
  <c r="A14924" i="1"/>
  <c r="A14923" i="1"/>
  <c r="A14922" i="1"/>
  <c r="A14921" i="1"/>
  <c r="A14920" i="1"/>
  <c r="A14919" i="1"/>
  <c r="A14918" i="1"/>
  <c r="A14917" i="1"/>
  <c r="A14916" i="1"/>
  <c r="A14915" i="1"/>
  <c r="A14914" i="1"/>
  <c r="A14913" i="1"/>
  <c r="A14912" i="1"/>
  <c r="A14911" i="1"/>
  <c r="A14910" i="1"/>
  <c r="A14909" i="1"/>
  <c r="A14908" i="1"/>
  <c r="A14907" i="1"/>
  <c r="A14906" i="1"/>
  <c r="A14905" i="1"/>
  <c r="A14904" i="1"/>
  <c r="A14903" i="1"/>
  <c r="A14902" i="1"/>
  <c r="A14901" i="1"/>
  <c r="A14900" i="1"/>
  <c r="A14899" i="1"/>
  <c r="A14898" i="1"/>
  <c r="A14897" i="1"/>
  <c r="A14896" i="1"/>
  <c r="A14895" i="1"/>
  <c r="A14894" i="1"/>
  <c r="A14893" i="1"/>
  <c r="A14892" i="1"/>
  <c r="A14891" i="1"/>
  <c r="A14890" i="1"/>
  <c r="A14889" i="1"/>
  <c r="A14888" i="1"/>
  <c r="A14887" i="1"/>
  <c r="A14886" i="1"/>
  <c r="A14885" i="1"/>
  <c r="A14884" i="1"/>
  <c r="A14883" i="1"/>
  <c r="A14882" i="1"/>
  <c r="A14881" i="1"/>
  <c r="A14880" i="1"/>
  <c r="A14879" i="1"/>
  <c r="A14878" i="1"/>
  <c r="A14877" i="1"/>
  <c r="A14876" i="1"/>
  <c r="A14875" i="1"/>
  <c r="A14874" i="1"/>
  <c r="A14873" i="1"/>
  <c r="A14872" i="1"/>
  <c r="A14871" i="1"/>
  <c r="A14870" i="1"/>
  <c r="A14869" i="1"/>
  <c r="A14868" i="1"/>
  <c r="A14867" i="1"/>
  <c r="A14866" i="1"/>
  <c r="A14865" i="1"/>
  <c r="A14864" i="1"/>
  <c r="A14863" i="1"/>
  <c r="A14862" i="1"/>
  <c r="A14861" i="1"/>
  <c r="A14860" i="1"/>
  <c r="A14859" i="1"/>
  <c r="A14858" i="1"/>
  <c r="A14857" i="1"/>
  <c r="A14856" i="1"/>
  <c r="A14855" i="1"/>
  <c r="A14854" i="1"/>
  <c r="A14853" i="1"/>
  <c r="A14852" i="1"/>
  <c r="A14851" i="1"/>
  <c r="A14850" i="1"/>
  <c r="A14849" i="1"/>
  <c r="A14848" i="1"/>
  <c r="A14847" i="1"/>
  <c r="A14846" i="1"/>
  <c r="A14845" i="1"/>
  <c r="A14844" i="1"/>
  <c r="A14843" i="1"/>
  <c r="A14842" i="1"/>
  <c r="A14841" i="1"/>
  <c r="A14840" i="1"/>
  <c r="A14839" i="1"/>
  <c r="A14838" i="1"/>
  <c r="A14837" i="1"/>
  <c r="A14836" i="1"/>
  <c r="A14835" i="1"/>
  <c r="A14834" i="1"/>
  <c r="A14833" i="1"/>
  <c r="A14832" i="1"/>
  <c r="A14831" i="1"/>
  <c r="A14830" i="1"/>
  <c r="A14829" i="1"/>
  <c r="A14828" i="1"/>
  <c r="A14827" i="1"/>
  <c r="A14826" i="1"/>
  <c r="A14825" i="1"/>
  <c r="A14824" i="1"/>
  <c r="A14823" i="1"/>
  <c r="A14822" i="1"/>
  <c r="A14821" i="1"/>
  <c r="A14820" i="1"/>
  <c r="A14819" i="1"/>
  <c r="A14818" i="1"/>
  <c r="A14817" i="1"/>
  <c r="A14816" i="1"/>
  <c r="A14815" i="1"/>
  <c r="A14814" i="1"/>
  <c r="A14813" i="1"/>
  <c r="A14812" i="1"/>
  <c r="A14811" i="1"/>
  <c r="A14810" i="1"/>
  <c r="A14809" i="1"/>
  <c r="A14808" i="1"/>
  <c r="A14807" i="1"/>
  <c r="A14806" i="1"/>
  <c r="A14805" i="1"/>
  <c r="A14804" i="1"/>
  <c r="A14803" i="1"/>
  <c r="A14802" i="1"/>
  <c r="A14801" i="1"/>
  <c r="A14800" i="1"/>
  <c r="A14799" i="1"/>
  <c r="A14798" i="1"/>
  <c r="A14797" i="1"/>
  <c r="A14796" i="1"/>
  <c r="A14795" i="1"/>
  <c r="A14794" i="1"/>
  <c r="A14793" i="1"/>
  <c r="A14792" i="1"/>
  <c r="A14791" i="1"/>
  <c r="A14790" i="1"/>
  <c r="A14789" i="1"/>
  <c r="A14788" i="1"/>
  <c r="A14787" i="1"/>
  <c r="A14786" i="1"/>
  <c r="A14785" i="1"/>
  <c r="A14784" i="1"/>
  <c r="A14783" i="1"/>
  <c r="A14782" i="1"/>
  <c r="A14781" i="1"/>
  <c r="A14780" i="1"/>
  <c r="A14779" i="1"/>
  <c r="A14778" i="1"/>
  <c r="A14777" i="1"/>
  <c r="A14776" i="1"/>
  <c r="A14775" i="1"/>
  <c r="A14774" i="1"/>
  <c r="A14773" i="1"/>
  <c r="A14772" i="1"/>
  <c r="A14771" i="1"/>
  <c r="A14770" i="1"/>
  <c r="A14769" i="1"/>
  <c r="A14768" i="1"/>
  <c r="A14767" i="1"/>
  <c r="A14766" i="1"/>
  <c r="A14765" i="1"/>
  <c r="A14764" i="1"/>
  <c r="A14763" i="1"/>
  <c r="A14762" i="1"/>
  <c r="A14761" i="1"/>
  <c r="A14760" i="1"/>
  <c r="A14759" i="1"/>
  <c r="A14758" i="1"/>
  <c r="A14757" i="1"/>
  <c r="A14756" i="1"/>
  <c r="A14755" i="1"/>
  <c r="A14754" i="1"/>
  <c r="A14753" i="1"/>
  <c r="A14752" i="1"/>
  <c r="A14751" i="1"/>
  <c r="A14750" i="1"/>
  <c r="A14749" i="1"/>
  <c r="A14748" i="1"/>
  <c r="A14747" i="1"/>
  <c r="A14746" i="1"/>
  <c r="A14745" i="1"/>
  <c r="A14744" i="1"/>
  <c r="A14743" i="1"/>
  <c r="A14742" i="1"/>
  <c r="A14741" i="1"/>
  <c r="A14740" i="1"/>
  <c r="A14739" i="1"/>
  <c r="A14738" i="1"/>
  <c r="A14737" i="1"/>
  <c r="A14736" i="1"/>
  <c r="A14735" i="1"/>
  <c r="A14734" i="1"/>
  <c r="A14733" i="1"/>
  <c r="A14732" i="1"/>
  <c r="A14731" i="1"/>
  <c r="A14730" i="1"/>
  <c r="A14729" i="1"/>
  <c r="A14728" i="1"/>
  <c r="A14727" i="1"/>
  <c r="A14726" i="1"/>
  <c r="A14725" i="1"/>
  <c r="A14724" i="1"/>
  <c r="A14723" i="1"/>
  <c r="A14722" i="1"/>
  <c r="A14721" i="1"/>
  <c r="A14720" i="1"/>
  <c r="A14719" i="1"/>
  <c r="A14718" i="1"/>
  <c r="A14717" i="1"/>
  <c r="A14716" i="1"/>
  <c r="A14715" i="1"/>
  <c r="A14714" i="1"/>
  <c r="A14713" i="1"/>
  <c r="A14712" i="1"/>
  <c r="A14711" i="1"/>
  <c r="A14710" i="1"/>
  <c r="A14709" i="1"/>
  <c r="A14708" i="1"/>
  <c r="A14707" i="1"/>
  <c r="A14706" i="1"/>
  <c r="A14705" i="1"/>
  <c r="A14704" i="1"/>
  <c r="A14703" i="1"/>
  <c r="A14702" i="1"/>
  <c r="A14701" i="1"/>
  <c r="A14700" i="1"/>
  <c r="A14699" i="1"/>
  <c r="A14698" i="1"/>
  <c r="A14697" i="1"/>
  <c r="A14696" i="1"/>
  <c r="A14695" i="1"/>
  <c r="A14694" i="1"/>
  <c r="A14693" i="1"/>
  <c r="A14692" i="1"/>
  <c r="A14691" i="1"/>
  <c r="A14690" i="1"/>
  <c r="A14689" i="1"/>
  <c r="A14688" i="1"/>
  <c r="A14687" i="1"/>
  <c r="A14686" i="1"/>
  <c r="A14685" i="1"/>
  <c r="A14684" i="1"/>
  <c r="A14683" i="1"/>
  <c r="A14682" i="1"/>
  <c r="A14681" i="1"/>
  <c r="A14680" i="1"/>
  <c r="A14679" i="1"/>
  <c r="A14678" i="1"/>
  <c r="A14677" i="1"/>
  <c r="A14676" i="1"/>
  <c r="A14675" i="1"/>
  <c r="A14674" i="1"/>
  <c r="A14673" i="1"/>
  <c r="A14672" i="1"/>
  <c r="A14671" i="1"/>
  <c r="A14670" i="1"/>
  <c r="A14669" i="1"/>
  <c r="A14668" i="1"/>
  <c r="A14667" i="1"/>
  <c r="A14666" i="1"/>
  <c r="A14665" i="1"/>
  <c r="A14664" i="1"/>
  <c r="A14663" i="1"/>
  <c r="A14662" i="1"/>
  <c r="A14661" i="1"/>
  <c r="A14660" i="1"/>
  <c r="A14659" i="1"/>
  <c r="A14658" i="1"/>
  <c r="A14657" i="1"/>
  <c r="A14656" i="1"/>
  <c r="A14655" i="1"/>
  <c r="A14654" i="1"/>
  <c r="A14653" i="1"/>
  <c r="A14652" i="1"/>
  <c r="A14651" i="1"/>
  <c r="A14650" i="1"/>
  <c r="A14649" i="1"/>
  <c r="A14648" i="1"/>
  <c r="A14647" i="1"/>
  <c r="A14646" i="1"/>
  <c r="A14645" i="1"/>
  <c r="A14644" i="1"/>
  <c r="A14643" i="1"/>
  <c r="A14642" i="1"/>
  <c r="A14641" i="1"/>
  <c r="A14640" i="1"/>
  <c r="A14639" i="1"/>
  <c r="A14638" i="1"/>
  <c r="A14637" i="1"/>
  <c r="A14636" i="1"/>
  <c r="A14635" i="1"/>
  <c r="A14634" i="1"/>
  <c r="A14633" i="1"/>
  <c r="A14632" i="1"/>
  <c r="A14631" i="1"/>
  <c r="A14630" i="1"/>
  <c r="A14629" i="1"/>
  <c r="A14628" i="1"/>
  <c r="A14627" i="1"/>
  <c r="A14626" i="1"/>
  <c r="A14625" i="1"/>
  <c r="A14624" i="1"/>
  <c r="A14623" i="1"/>
  <c r="A14622" i="1"/>
  <c r="A14621" i="1"/>
  <c r="A14620" i="1"/>
  <c r="A14619" i="1"/>
  <c r="A14618" i="1"/>
  <c r="A14617" i="1"/>
  <c r="A14616" i="1"/>
  <c r="A14615" i="1"/>
  <c r="A14614" i="1"/>
  <c r="A14613" i="1"/>
  <c r="A14612" i="1"/>
  <c r="A14611" i="1"/>
  <c r="A14610" i="1"/>
  <c r="A14609" i="1"/>
  <c r="A14608" i="1"/>
  <c r="A14607" i="1"/>
  <c r="A14606" i="1"/>
  <c r="A14605" i="1"/>
  <c r="A14604" i="1"/>
  <c r="A14603" i="1"/>
  <c r="A14602" i="1"/>
  <c r="A14601" i="1"/>
  <c r="A14600" i="1"/>
  <c r="A14599" i="1"/>
  <c r="A14598" i="1"/>
  <c r="A14597" i="1"/>
  <c r="A14596" i="1"/>
  <c r="A14595" i="1"/>
  <c r="A14594" i="1"/>
  <c r="A14593" i="1"/>
  <c r="A14592" i="1"/>
  <c r="A14591" i="1"/>
  <c r="A14590" i="1"/>
  <c r="A14589" i="1"/>
  <c r="A14588" i="1"/>
  <c r="A14587" i="1"/>
  <c r="A14586" i="1"/>
  <c r="A14585" i="1"/>
  <c r="A14584" i="1"/>
  <c r="A14583" i="1"/>
  <c r="A14582" i="1"/>
  <c r="A14581" i="1"/>
  <c r="A14580" i="1"/>
  <c r="A14579" i="1"/>
  <c r="A14578" i="1"/>
  <c r="A14577" i="1"/>
  <c r="A14576" i="1"/>
  <c r="A14575" i="1"/>
  <c r="A14574" i="1"/>
  <c r="A14573" i="1"/>
  <c r="A14572" i="1"/>
  <c r="A14571" i="1"/>
  <c r="A14570" i="1"/>
  <c r="A14569" i="1"/>
  <c r="A14568" i="1"/>
  <c r="A14567" i="1"/>
  <c r="A14566" i="1"/>
  <c r="A14565" i="1"/>
  <c r="A14564" i="1"/>
  <c r="A14563" i="1"/>
  <c r="A14562" i="1"/>
  <c r="A14561" i="1"/>
  <c r="A14560" i="1"/>
  <c r="A14559" i="1"/>
  <c r="A14558" i="1"/>
  <c r="A14557" i="1"/>
  <c r="A14556" i="1"/>
  <c r="A14555" i="1"/>
  <c r="A14554" i="1"/>
  <c r="A14553" i="1"/>
  <c r="A14552" i="1"/>
  <c r="A14551" i="1"/>
  <c r="A14550" i="1"/>
  <c r="A14549" i="1"/>
  <c r="A14548" i="1"/>
  <c r="A14547" i="1"/>
  <c r="A14546" i="1"/>
  <c r="A14545" i="1"/>
  <c r="A14544" i="1"/>
  <c r="A14543" i="1"/>
  <c r="A14542" i="1"/>
  <c r="A14541" i="1"/>
  <c r="A14540" i="1"/>
  <c r="A14539" i="1"/>
  <c r="A14538" i="1"/>
  <c r="A14537" i="1"/>
  <c r="A14536" i="1"/>
  <c r="A14535" i="1"/>
  <c r="A14534" i="1"/>
  <c r="A14533" i="1"/>
  <c r="A14532" i="1"/>
  <c r="A14531" i="1"/>
  <c r="A14530" i="1"/>
  <c r="A14529" i="1"/>
  <c r="A14528" i="1"/>
  <c r="A14527" i="1"/>
  <c r="A14526" i="1"/>
  <c r="A14525" i="1"/>
  <c r="A14524" i="1"/>
  <c r="A14523" i="1"/>
  <c r="A14522" i="1"/>
  <c r="A14521" i="1"/>
  <c r="A14520" i="1"/>
  <c r="A14519" i="1"/>
  <c r="A14518" i="1"/>
  <c r="A14517" i="1"/>
  <c r="A14516" i="1"/>
  <c r="A14515" i="1"/>
  <c r="A14514" i="1"/>
  <c r="A14513" i="1"/>
  <c r="A14512" i="1"/>
  <c r="A14511" i="1"/>
  <c r="A14510" i="1"/>
  <c r="A14509" i="1"/>
  <c r="A14508" i="1"/>
  <c r="A14507" i="1"/>
  <c r="A14506" i="1"/>
  <c r="A14505" i="1"/>
  <c r="A14504" i="1"/>
  <c r="A14503" i="1"/>
  <c r="A14502" i="1"/>
  <c r="A14501" i="1"/>
  <c r="A14500" i="1"/>
  <c r="A14499" i="1"/>
  <c r="A14498" i="1"/>
  <c r="A14497" i="1"/>
  <c r="A14496" i="1"/>
  <c r="A14495" i="1"/>
  <c r="A14494" i="1"/>
  <c r="A14493" i="1"/>
  <c r="A14492" i="1"/>
  <c r="A14491" i="1"/>
  <c r="A14490" i="1"/>
  <c r="A14489" i="1"/>
  <c r="A14488" i="1"/>
  <c r="A14487" i="1"/>
  <c r="A14486" i="1"/>
  <c r="A14485" i="1"/>
  <c r="A14484" i="1"/>
  <c r="A14483" i="1"/>
  <c r="A14482" i="1"/>
  <c r="A14481" i="1"/>
  <c r="A14480" i="1"/>
  <c r="A14479" i="1"/>
  <c r="A14478" i="1"/>
  <c r="A14477" i="1"/>
  <c r="A14476" i="1"/>
  <c r="A14475" i="1"/>
  <c r="A14474" i="1"/>
  <c r="A14473" i="1"/>
  <c r="A14472" i="1"/>
  <c r="A14471" i="1"/>
  <c r="A14470" i="1"/>
  <c r="A14469" i="1"/>
  <c r="A14468" i="1"/>
  <c r="A14467" i="1"/>
  <c r="A14466" i="1"/>
  <c r="A14465" i="1"/>
  <c r="A14464" i="1"/>
  <c r="A14463" i="1"/>
  <c r="A14462" i="1"/>
  <c r="A14461" i="1"/>
  <c r="A14460" i="1"/>
  <c r="A14459" i="1"/>
  <c r="A14458" i="1"/>
  <c r="A14457" i="1"/>
  <c r="A14456" i="1"/>
  <c r="A14455" i="1"/>
  <c r="A14454" i="1"/>
  <c r="A14453" i="1"/>
  <c r="A14452" i="1"/>
  <c r="A14451" i="1"/>
  <c r="A14450" i="1"/>
  <c r="A14449" i="1"/>
  <c r="A14448" i="1"/>
  <c r="A14447" i="1"/>
  <c r="A14446" i="1"/>
  <c r="A14445" i="1"/>
  <c r="A14444" i="1"/>
  <c r="A14443" i="1"/>
  <c r="A14442" i="1"/>
  <c r="A14441" i="1"/>
  <c r="A14440" i="1"/>
  <c r="A14439" i="1"/>
  <c r="A14438" i="1"/>
  <c r="A14437" i="1"/>
  <c r="A14436" i="1"/>
  <c r="A14435" i="1"/>
  <c r="A14434" i="1"/>
  <c r="A14433" i="1"/>
  <c r="A14432" i="1"/>
  <c r="A14431" i="1"/>
  <c r="A14430" i="1"/>
  <c r="A14429" i="1"/>
  <c r="A14428" i="1"/>
  <c r="A14427" i="1"/>
  <c r="A14426" i="1"/>
  <c r="A14425" i="1"/>
  <c r="A14424" i="1"/>
  <c r="A14423" i="1"/>
  <c r="A14422" i="1"/>
  <c r="A14421" i="1"/>
  <c r="A14420" i="1"/>
  <c r="A14419" i="1"/>
  <c r="A14418" i="1"/>
  <c r="A14417" i="1"/>
  <c r="A14416" i="1"/>
  <c r="A14415" i="1"/>
  <c r="A14414" i="1"/>
  <c r="A14413" i="1"/>
  <c r="A14412" i="1"/>
  <c r="A14411" i="1"/>
  <c r="A14410" i="1"/>
  <c r="A14409" i="1"/>
  <c r="A14408" i="1"/>
  <c r="A14407" i="1"/>
  <c r="A14406" i="1"/>
  <c r="A14405" i="1"/>
  <c r="A14404" i="1"/>
  <c r="A14403" i="1"/>
  <c r="A14402" i="1"/>
  <c r="A14401" i="1"/>
  <c r="A14400" i="1"/>
  <c r="A14399" i="1"/>
  <c r="A14398" i="1"/>
  <c r="A14397" i="1"/>
  <c r="A14396" i="1"/>
  <c r="A14395" i="1"/>
  <c r="A14394" i="1"/>
  <c r="A14393" i="1"/>
  <c r="A14392" i="1"/>
  <c r="A14391" i="1"/>
  <c r="A14390" i="1"/>
  <c r="A14389" i="1"/>
  <c r="A14388" i="1"/>
  <c r="A14387" i="1"/>
  <c r="A14386" i="1"/>
  <c r="A14385" i="1"/>
  <c r="A14384" i="1"/>
  <c r="A14383" i="1"/>
  <c r="A14382" i="1"/>
  <c r="A14381" i="1"/>
  <c r="A14380" i="1"/>
  <c r="A14379" i="1"/>
  <c r="A14378" i="1"/>
  <c r="A14377" i="1"/>
  <c r="A14376" i="1"/>
  <c r="A14375" i="1"/>
  <c r="A14374" i="1"/>
  <c r="A14373" i="1"/>
  <c r="A14372" i="1"/>
  <c r="A14371" i="1"/>
  <c r="A14370" i="1"/>
  <c r="A14369" i="1"/>
  <c r="A14368" i="1"/>
  <c r="A14367" i="1"/>
  <c r="A14366" i="1"/>
  <c r="A14365" i="1"/>
  <c r="A14364" i="1"/>
  <c r="A14363" i="1"/>
  <c r="A14362" i="1"/>
  <c r="A14361" i="1"/>
  <c r="A14360" i="1"/>
  <c r="A14359" i="1"/>
  <c r="A14358" i="1"/>
  <c r="A14357" i="1"/>
  <c r="A14356" i="1"/>
  <c r="A14355" i="1"/>
  <c r="A14354" i="1"/>
  <c r="A14353" i="1"/>
  <c r="A14352" i="1"/>
  <c r="A14351" i="1"/>
  <c r="A14350" i="1"/>
  <c r="A14349" i="1"/>
  <c r="A14348" i="1"/>
  <c r="A14347" i="1"/>
  <c r="A14346" i="1"/>
  <c r="A14345" i="1"/>
  <c r="A14344" i="1"/>
  <c r="A14343" i="1"/>
  <c r="A14342" i="1"/>
  <c r="A14341" i="1"/>
  <c r="A14340" i="1"/>
  <c r="A14339" i="1"/>
  <c r="A14338" i="1"/>
  <c r="A14337" i="1"/>
  <c r="A14336" i="1"/>
  <c r="A14335" i="1"/>
  <c r="A14334" i="1"/>
  <c r="A14333" i="1"/>
  <c r="A14332" i="1"/>
  <c r="A14331" i="1"/>
  <c r="A14330" i="1"/>
  <c r="A14329" i="1"/>
  <c r="A14328" i="1"/>
  <c r="A14327" i="1"/>
  <c r="A14326" i="1"/>
  <c r="A14325" i="1"/>
  <c r="A14324" i="1"/>
  <c r="A14323" i="1"/>
  <c r="A14322" i="1"/>
  <c r="A14321" i="1"/>
  <c r="A14320" i="1"/>
  <c r="A14319" i="1"/>
  <c r="A14318" i="1"/>
  <c r="A14317" i="1"/>
  <c r="A14316" i="1"/>
  <c r="A14315" i="1"/>
  <c r="A14314" i="1"/>
  <c r="A14313" i="1"/>
  <c r="A14312" i="1"/>
  <c r="A14311" i="1"/>
  <c r="A14310" i="1"/>
  <c r="A14309" i="1"/>
  <c r="A14308" i="1"/>
  <c r="A14307" i="1"/>
  <c r="A14306" i="1"/>
  <c r="A14305" i="1"/>
  <c r="A14304" i="1"/>
  <c r="A14303" i="1"/>
  <c r="A14302" i="1"/>
  <c r="A14301" i="1"/>
  <c r="A14300" i="1"/>
  <c r="A14299" i="1"/>
  <c r="A14298" i="1"/>
  <c r="A14297" i="1"/>
  <c r="A14296" i="1"/>
  <c r="A14295" i="1"/>
  <c r="A14294" i="1"/>
  <c r="A14293" i="1"/>
  <c r="A14292" i="1"/>
  <c r="A14291" i="1"/>
  <c r="A14290" i="1"/>
  <c r="A14289" i="1"/>
  <c r="A14288" i="1"/>
  <c r="A14287" i="1"/>
  <c r="A14286" i="1"/>
  <c r="A14285" i="1"/>
  <c r="A14284" i="1"/>
  <c r="A14283" i="1"/>
  <c r="A14282" i="1"/>
  <c r="A14281" i="1"/>
  <c r="A14280" i="1"/>
  <c r="A14279" i="1"/>
  <c r="A14278" i="1"/>
  <c r="A14277" i="1"/>
  <c r="A14276" i="1"/>
  <c r="A14275" i="1"/>
  <c r="A14274" i="1"/>
  <c r="A14273" i="1"/>
  <c r="A14272" i="1"/>
  <c r="A14271" i="1"/>
  <c r="A14270" i="1"/>
  <c r="A14269" i="1"/>
  <c r="A14268" i="1"/>
  <c r="A14267" i="1"/>
  <c r="A14266" i="1"/>
  <c r="A14265" i="1"/>
  <c r="A14264" i="1"/>
  <c r="A14263" i="1"/>
  <c r="A14262" i="1"/>
  <c r="A14261" i="1"/>
  <c r="A14260" i="1"/>
  <c r="A14259" i="1"/>
  <c r="A14258" i="1"/>
  <c r="A14257" i="1"/>
  <c r="A14256" i="1"/>
  <c r="A14255" i="1"/>
  <c r="A14254" i="1"/>
  <c r="A14253" i="1"/>
  <c r="A14252" i="1"/>
  <c r="A14251" i="1"/>
  <c r="A14250" i="1"/>
  <c r="A14249" i="1"/>
  <c r="A14248" i="1"/>
  <c r="A14247" i="1"/>
  <c r="A14246" i="1"/>
  <c r="A14245" i="1"/>
  <c r="A14244" i="1"/>
  <c r="A14243" i="1"/>
  <c r="A14242" i="1"/>
  <c r="A14241" i="1"/>
  <c r="A14240" i="1"/>
  <c r="A14239" i="1"/>
  <c r="A14238" i="1"/>
  <c r="A14237" i="1"/>
  <c r="A14236" i="1"/>
  <c r="A14235" i="1"/>
  <c r="A14234" i="1"/>
  <c r="A14233" i="1"/>
  <c r="A14232" i="1"/>
  <c r="A14231" i="1"/>
  <c r="A14230" i="1"/>
  <c r="A14229" i="1"/>
  <c r="A14228" i="1"/>
  <c r="A14227" i="1"/>
  <c r="A14226" i="1"/>
  <c r="A14225" i="1"/>
  <c r="A14224" i="1"/>
  <c r="A14223" i="1"/>
  <c r="A14222" i="1"/>
  <c r="A14221" i="1"/>
  <c r="A14220" i="1"/>
  <c r="A14219" i="1"/>
  <c r="A14218" i="1"/>
  <c r="A14217" i="1"/>
  <c r="A14216" i="1"/>
  <c r="A14215" i="1"/>
  <c r="A14214" i="1"/>
  <c r="A14213" i="1"/>
  <c r="A14212" i="1"/>
  <c r="A14211" i="1"/>
  <c r="A14210" i="1"/>
  <c r="A14209" i="1"/>
  <c r="A14208" i="1"/>
  <c r="A14207" i="1"/>
  <c r="A14206" i="1"/>
  <c r="A14205" i="1"/>
  <c r="A14204" i="1"/>
  <c r="A14203" i="1"/>
  <c r="A14202" i="1"/>
  <c r="A14201" i="1"/>
  <c r="A14200" i="1"/>
  <c r="A14199" i="1"/>
  <c r="A14198" i="1"/>
  <c r="A14197" i="1"/>
  <c r="A14196" i="1"/>
  <c r="A14195" i="1"/>
  <c r="A14194" i="1"/>
  <c r="A14193" i="1"/>
  <c r="A14192" i="1"/>
  <c r="A14191" i="1"/>
  <c r="A14190" i="1"/>
  <c r="A14189" i="1"/>
  <c r="A14188" i="1"/>
  <c r="A14187" i="1"/>
  <c r="A14186" i="1"/>
  <c r="A14185" i="1"/>
  <c r="A14184" i="1"/>
  <c r="A14183" i="1"/>
  <c r="A14182" i="1"/>
  <c r="A14181" i="1"/>
  <c r="A14180" i="1"/>
  <c r="A14179" i="1"/>
  <c r="A14178" i="1"/>
  <c r="A14177" i="1"/>
  <c r="A14176" i="1"/>
  <c r="A14175" i="1"/>
  <c r="A14174" i="1"/>
  <c r="A14173" i="1"/>
  <c r="A14172" i="1"/>
  <c r="A14171" i="1"/>
  <c r="A14170" i="1"/>
  <c r="A14169" i="1"/>
  <c r="A14168" i="1"/>
  <c r="A14167" i="1"/>
  <c r="A14166" i="1"/>
  <c r="A14165" i="1"/>
  <c r="A14164" i="1"/>
  <c r="A14163" i="1"/>
  <c r="A14162" i="1"/>
  <c r="A14161" i="1"/>
  <c r="A14160" i="1"/>
  <c r="A14159" i="1"/>
  <c r="A14158" i="1"/>
  <c r="A14157" i="1"/>
  <c r="A14156" i="1"/>
  <c r="A14155" i="1"/>
  <c r="A14154" i="1"/>
  <c r="A14153" i="1"/>
  <c r="A14152" i="1"/>
  <c r="A14151" i="1"/>
  <c r="A14150" i="1"/>
  <c r="A14149" i="1"/>
  <c r="A14148" i="1"/>
  <c r="A14147" i="1"/>
  <c r="A14146" i="1"/>
  <c r="A14145" i="1"/>
  <c r="A14144" i="1"/>
  <c r="A14143" i="1"/>
  <c r="A14142" i="1"/>
  <c r="A14141" i="1"/>
  <c r="A14140" i="1"/>
  <c r="A14139" i="1"/>
  <c r="A14138" i="1"/>
  <c r="A14137" i="1"/>
  <c r="A14136" i="1"/>
  <c r="A14135" i="1"/>
  <c r="A14134" i="1"/>
  <c r="A14133" i="1"/>
  <c r="A14132" i="1"/>
  <c r="A14131" i="1"/>
  <c r="A14130" i="1"/>
  <c r="A14129" i="1"/>
  <c r="A14128" i="1"/>
  <c r="A14127" i="1"/>
  <c r="A14126" i="1"/>
  <c r="A14125" i="1"/>
  <c r="A14124" i="1"/>
  <c r="A14123" i="1"/>
  <c r="A14122" i="1"/>
  <c r="A14121" i="1"/>
  <c r="A14120" i="1"/>
  <c r="A14119" i="1"/>
  <c r="A14118" i="1"/>
  <c r="A14117" i="1"/>
  <c r="A14116" i="1"/>
  <c r="A14115" i="1"/>
  <c r="A14114" i="1"/>
  <c r="A14113" i="1"/>
  <c r="A14112" i="1"/>
  <c r="A14111" i="1"/>
  <c r="A14110" i="1"/>
  <c r="A14109" i="1"/>
  <c r="A14108" i="1"/>
  <c r="A14107" i="1"/>
  <c r="A14106" i="1"/>
  <c r="A14105" i="1"/>
  <c r="A14104" i="1"/>
  <c r="A14103" i="1"/>
  <c r="A14102" i="1"/>
  <c r="A14101" i="1"/>
  <c r="A14100" i="1"/>
  <c r="A14099" i="1"/>
  <c r="A14098" i="1"/>
  <c r="A14097" i="1"/>
  <c r="A14096" i="1"/>
  <c r="A14095" i="1"/>
  <c r="A14094" i="1"/>
  <c r="A14093" i="1"/>
  <c r="A14092" i="1"/>
  <c r="A14091" i="1"/>
  <c r="A14090" i="1"/>
  <c r="A14089" i="1"/>
  <c r="A14088" i="1"/>
  <c r="A14087" i="1"/>
  <c r="A14086" i="1"/>
  <c r="A14085" i="1"/>
  <c r="A14084" i="1"/>
  <c r="A14083" i="1"/>
  <c r="A14082" i="1"/>
  <c r="A14081" i="1"/>
  <c r="A14080" i="1"/>
  <c r="A14079" i="1"/>
  <c r="A14078" i="1"/>
  <c r="A14077" i="1"/>
  <c r="A14076" i="1"/>
  <c r="A14075" i="1"/>
  <c r="A14074" i="1"/>
  <c r="A14073" i="1"/>
  <c r="A14072" i="1"/>
  <c r="A14071" i="1"/>
  <c r="A14070" i="1"/>
  <c r="A14069" i="1"/>
  <c r="A14068" i="1"/>
  <c r="A14067" i="1"/>
  <c r="A14066" i="1"/>
  <c r="A14065" i="1"/>
  <c r="A14064" i="1"/>
  <c r="A14063" i="1"/>
  <c r="A14062" i="1"/>
  <c r="A14061" i="1"/>
  <c r="A14060" i="1"/>
  <c r="A14059" i="1"/>
  <c r="A14058" i="1"/>
  <c r="A14057" i="1"/>
  <c r="A14056" i="1"/>
  <c r="A14055" i="1"/>
  <c r="A14054" i="1"/>
  <c r="A14053" i="1"/>
  <c r="A14052" i="1"/>
  <c r="A14051" i="1"/>
  <c r="A14050" i="1"/>
  <c r="A14049" i="1"/>
  <c r="A14048" i="1"/>
  <c r="A14047" i="1"/>
  <c r="A14046" i="1"/>
  <c r="A14045" i="1"/>
  <c r="A14044" i="1"/>
  <c r="A14043" i="1"/>
  <c r="A14042" i="1"/>
  <c r="A14041" i="1"/>
  <c r="A14040" i="1"/>
  <c r="A14039" i="1"/>
  <c r="A14038" i="1"/>
  <c r="A14037" i="1"/>
  <c r="A14036" i="1"/>
  <c r="A14035" i="1"/>
  <c r="A14034" i="1"/>
  <c r="A14033" i="1"/>
  <c r="A14032" i="1"/>
  <c r="A14031" i="1"/>
  <c r="A14030" i="1"/>
  <c r="A14029" i="1"/>
  <c r="A14028" i="1"/>
  <c r="A14027" i="1"/>
  <c r="A14026" i="1"/>
  <c r="A14025" i="1"/>
  <c r="A14024" i="1"/>
  <c r="A14023" i="1"/>
  <c r="A14022" i="1"/>
  <c r="A14021" i="1"/>
  <c r="A14020" i="1"/>
  <c r="A14019" i="1"/>
  <c r="A14018" i="1"/>
  <c r="A14017" i="1"/>
  <c r="A14016" i="1"/>
  <c r="A14015" i="1"/>
  <c r="A14014" i="1"/>
  <c r="A14013" i="1"/>
  <c r="A14012" i="1"/>
  <c r="A14011" i="1"/>
  <c r="A14010" i="1"/>
  <c r="A14009" i="1"/>
  <c r="A14008" i="1"/>
  <c r="A14007" i="1"/>
  <c r="A14006" i="1"/>
  <c r="A14005" i="1"/>
  <c r="A14004" i="1"/>
  <c r="A14003" i="1"/>
  <c r="A14002" i="1"/>
  <c r="A14001" i="1"/>
  <c r="A14000" i="1"/>
  <c r="A13999" i="1"/>
  <c r="A13998" i="1"/>
  <c r="A13997" i="1"/>
  <c r="A13996" i="1"/>
  <c r="A13995" i="1"/>
  <c r="A13994" i="1"/>
  <c r="A13993" i="1"/>
  <c r="A13992" i="1"/>
  <c r="A13991" i="1"/>
  <c r="A13990" i="1"/>
  <c r="A13989" i="1"/>
  <c r="A13988" i="1"/>
  <c r="A13987" i="1"/>
  <c r="A13986" i="1"/>
  <c r="A13985" i="1"/>
  <c r="A13984" i="1"/>
  <c r="A13983" i="1"/>
  <c r="A13982" i="1"/>
  <c r="A13981" i="1"/>
  <c r="A13980" i="1"/>
  <c r="A13979" i="1"/>
  <c r="A13978" i="1"/>
  <c r="A13977" i="1"/>
  <c r="A13976" i="1"/>
  <c r="A13975" i="1"/>
  <c r="A13974" i="1"/>
  <c r="A13973" i="1"/>
  <c r="A13972" i="1"/>
  <c r="A13971" i="1"/>
  <c r="A13970" i="1"/>
  <c r="A13969" i="1"/>
  <c r="A13968" i="1"/>
  <c r="A13967" i="1"/>
  <c r="A13966" i="1"/>
  <c r="A13965" i="1"/>
  <c r="A13964" i="1"/>
  <c r="A13963" i="1"/>
  <c r="A13962" i="1"/>
  <c r="A13961" i="1"/>
  <c r="A13960" i="1"/>
  <c r="A13959" i="1"/>
  <c r="A13958" i="1"/>
  <c r="A13957" i="1"/>
  <c r="A13956" i="1"/>
  <c r="A13955" i="1"/>
  <c r="A13954" i="1"/>
  <c r="A13953" i="1"/>
  <c r="A13952" i="1"/>
  <c r="A13951" i="1"/>
  <c r="A13950" i="1"/>
  <c r="A13949" i="1"/>
  <c r="A13948" i="1"/>
  <c r="A13947" i="1"/>
  <c r="A13946" i="1"/>
  <c r="A13945" i="1"/>
  <c r="A13944" i="1"/>
  <c r="A13943" i="1"/>
  <c r="A13942" i="1"/>
  <c r="A13941" i="1"/>
  <c r="A13940" i="1"/>
  <c r="A13939" i="1"/>
  <c r="A13938" i="1"/>
  <c r="A13937" i="1"/>
  <c r="A13936" i="1"/>
  <c r="A13935" i="1"/>
  <c r="A13934" i="1"/>
  <c r="A13933" i="1"/>
  <c r="A13932" i="1"/>
  <c r="A13931" i="1"/>
  <c r="A13930" i="1"/>
  <c r="A13929" i="1"/>
  <c r="A13928" i="1"/>
  <c r="A13927" i="1"/>
  <c r="A13926" i="1"/>
  <c r="A13925" i="1"/>
  <c r="A13924" i="1"/>
  <c r="A13923" i="1"/>
  <c r="A13922" i="1"/>
  <c r="A13921" i="1"/>
  <c r="A13920" i="1"/>
  <c r="A13919" i="1"/>
  <c r="A13918" i="1"/>
  <c r="A13917" i="1"/>
  <c r="A13916" i="1"/>
  <c r="A13915" i="1"/>
  <c r="A13914" i="1"/>
  <c r="A13913" i="1"/>
  <c r="A13912" i="1"/>
  <c r="A13911" i="1"/>
  <c r="A13910" i="1"/>
  <c r="A13909" i="1"/>
  <c r="A13908" i="1"/>
  <c r="A13907" i="1"/>
  <c r="A13906" i="1"/>
  <c r="A13905" i="1"/>
  <c r="A13904" i="1"/>
  <c r="A13903" i="1"/>
  <c r="A13902" i="1"/>
  <c r="A13901" i="1"/>
  <c r="A13900" i="1"/>
  <c r="A13899" i="1"/>
  <c r="A13898" i="1"/>
  <c r="A13897" i="1"/>
  <c r="A13896" i="1"/>
  <c r="A13895" i="1"/>
  <c r="A13894" i="1"/>
  <c r="A13893" i="1"/>
  <c r="A13892" i="1"/>
  <c r="A13891" i="1"/>
  <c r="A13890" i="1"/>
  <c r="A13889" i="1"/>
  <c r="A13888" i="1"/>
  <c r="A13887" i="1"/>
  <c r="A13886" i="1"/>
  <c r="A13885" i="1"/>
  <c r="A13884" i="1"/>
  <c r="A13883" i="1"/>
  <c r="A13882" i="1"/>
  <c r="A13881" i="1"/>
  <c r="A13880" i="1"/>
  <c r="A13879" i="1"/>
  <c r="A13878" i="1"/>
  <c r="A13877" i="1"/>
  <c r="A13876" i="1"/>
  <c r="A13875" i="1"/>
  <c r="A13874" i="1"/>
  <c r="A13873" i="1"/>
  <c r="A13872" i="1"/>
  <c r="A13871" i="1"/>
  <c r="A13870" i="1"/>
  <c r="A13869" i="1"/>
  <c r="A13868" i="1"/>
  <c r="A13867" i="1"/>
  <c r="A13866" i="1"/>
  <c r="A13865" i="1"/>
  <c r="A13864" i="1"/>
  <c r="A13863" i="1"/>
  <c r="A13862" i="1"/>
  <c r="A13861" i="1"/>
  <c r="A13860" i="1"/>
  <c r="A13859" i="1"/>
  <c r="A13858" i="1"/>
  <c r="A13857" i="1"/>
  <c r="A13856" i="1"/>
  <c r="A13855" i="1"/>
  <c r="A13854" i="1"/>
  <c r="A13853" i="1"/>
  <c r="A13852" i="1"/>
  <c r="A13851" i="1"/>
  <c r="A13850" i="1"/>
  <c r="A13849" i="1"/>
  <c r="A13848" i="1"/>
  <c r="A13847" i="1"/>
  <c r="A13846" i="1"/>
  <c r="A13845" i="1"/>
  <c r="A13844" i="1"/>
  <c r="A13843" i="1"/>
  <c r="A13842" i="1"/>
  <c r="A13841" i="1"/>
  <c r="A13840" i="1"/>
  <c r="A13839" i="1"/>
  <c r="A13838" i="1"/>
  <c r="A13837" i="1"/>
  <c r="A13836" i="1"/>
  <c r="A13835" i="1"/>
  <c r="A13834" i="1"/>
  <c r="A13833" i="1"/>
  <c r="A13832" i="1"/>
  <c r="A13831" i="1"/>
  <c r="A13830" i="1"/>
  <c r="A13829" i="1"/>
  <c r="A13828" i="1"/>
  <c r="A13827" i="1"/>
  <c r="A13826" i="1"/>
  <c r="A13825" i="1"/>
  <c r="A13824" i="1"/>
  <c r="A13823" i="1"/>
  <c r="A13822" i="1"/>
  <c r="A13821" i="1"/>
  <c r="A13820" i="1"/>
  <c r="A13819" i="1"/>
  <c r="A13818" i="1"/>
  <c r="A13817" i="1"/>
  <c r="A13816" i="1"/>
  <c r="A13815" i="1"/>
  <c r="A13814" i="1"/>
  <c r="A13813" i="1"/>
  <c r="A13812" i="1"/>
  <c r="A13811" i="1"/>
  <c r="A13810" i="1"/>
  <c r="A13809" i="1"/>
  <c r="A13808" i="1"/>
  <c r="A13807" i="1"/>
  <c r="A13806" i="1"/>
  <c r="A13805" i="1"/>
  <c r="A13804" i="1"/>
  <c r="A13803" i="1"/>
  <c r="A13802" i="1"/>
  <c r="A13801" i="1"/>
  <c r="A13800" i="1"/>
  <c r="A13799" i="1"/>
  <c r="A13798" i="1"/>
  <c r="A13797" i="1"/>
  <c r="A13796" i="1"/>
  <c r="A13795" i="1"/>
  <c r="A13794" i="1"/>
  <c r="A13793" i="1"/>
  <c r="A13792" i="1"/>
  <c r="A13791" i="1"/>
  <c r="A13790" i="1"/>
  <c r="A13789" i="1"/>
  <c r="A13788" i="1"/>
  <c r="A13787" i="1"/>
  <c r="A13786" i="1"/>
  <c r="A13785" i="1"/>
  <c r="A13784" i="1"/>
  <c r="A13783" i="1"/>
  <c r="A13782" i="1"/>
  <c r="A13781" i="1"/>
  <c r="A13780" i="1"/>
  <c r="A13779" i="1"/>
  <c r="A13778" i="1"/>
  <c r="A13777" i="1"/>
  <c r="A13776" i="1"/>
  <c r="A13775" i="1"/>
  <c r="A13774" i="1"/>
  <c r="A13773" i="1"/>
  <c r="A13772" i="1"/>
  <c r="A13771" i="1"/>
  <c r="A13770" i="1"/>
  <c r="A13769" i="1"/>
  <c r="A13768" i="1"/>
  <c r="A13767" i="1"/>
  <c r="A13766" i="1"/>
  <c r="A13765" i="1"/>
  <c r="A13764" i="1"/>
  <c r="A13763" i="1"/>
  <c r="A13762" i="1"/>
  <c r="A13761" i="1"/>
  <c r="A13760" i="1"/>
  <c r="A13759" i="1"/>
  <c r="A13758" i="1"/>
  <c r="A13757" i="1"/>
  <c r="A13756" i="1"/>
  <c r="A13755" i="1"/>
  <c r="A13754" i="1"/>
  <c r="A13753" i="1"/>
  <c r="A13752" i="1"/>
  <c r="A13751" i="1"/>
  <c r="A13750" i="1"/>
  <c r="A13749" i="1"/>
  <c r="A13748" i="1"/>
  <c r="A13747" i="1"/>
  <c r="A13746" i="1"/>
  <c r="A13745" i="1"/>
  <c r="A13744" i="1"/>
  <c r="A13743" i="1"/>
  <c r="A13742" i="1"/>
  <c r="A13741" i="1"/>
  <c r="A13740" i="1"/>
  <c r="A13739" i="1"/>
  <c r="A13738" i="1"/>
  <c r="A13737" i="1"/>
  <c r="A13736" i="1"/>
  <c r="A13735" i="1"/>
  <c r="A13734" i="1"/>
  <c r="A13733" i="1"/>
  <c r="A13732" i="1"/>
  <c r="A13731" i="1"/>
  <c r="A13730" i="1"/>
  <c r="A13729" i="1"/>
  <c r="A13728" i="1"/>
  <c r="A13727" i="1"/>
  <c r="A13726" i="1"/>
  <c r="A13725" i="1"/>
  <c r="A13724" i="1"/>
  <c r="A13723" i="1"/>
  <c r="A13722" i="1"/>
  <c r="A13721" i="1"/>
  <c r="A13720" i="1"/>
  <c r="A13719" i="1"/>
  <c r="A13718" i="1"/>
  <c r="A13717" i="1"/>
  <c r="A13716" i="1"/>
  <c r="A13715" i="1"/>
  <c r="A13714" i="1"/>
  <c r="A13713" i="1"/>
  <c r="A13712" i="1"/>
  <c r="A13711" i="1"/>
  <c r="A13710" i="1"/>
  <c r="A13709" i="1"/>
  <c r="A13708" i="1"/>
  <c r="A13707" i="1"/>
  <c r="A13706" i="1"/>
  <c r="A13705" i="1"/>
  <c r="A13704" i="1"/>
  <c r="A13703" i="1"/>
  <c r="A13702" i="1"/>
  <c r="A13701" i="1"/>
  <c r="A13700" i="1"/>
  <c r="A13699" i="1"/>
  <c r="A13698" i="1"/>
  <c r="A13697" i="1"/>
  <c r="A13696" i="1"/>
  <c r="A13695" i="1"/>
  <c r="A13694" i="1"/>
  <c r="A13693" i="1"/>
  <c r="A13692" i="1"/>
  <c r="A13691" i="1"/>
  <c r="A13690" i="1"/>
  <c r="A13689" i="1"/>
  <c r="A13688" i="1"/>
  <c r="A13687" i="1"/>
  <c r="A13686" i="1"/>
  <c r="A13685" i="1"/>
  <c r="A13684" i="1"/>
  <c r="A13683" i="1"/>
  <c r="A13682" i="1"/>
  <c r="A13681" i="1"/>
  <c r="A13680" i="1"/>
  <c r="A13679" i="1"/>
  <c r="A13678" i="1"/>
  <c r="A13677" i="1"/>
  <c r="A13676" i="1"/>
  <c r="A13675" i="1"/>
  <c r="A13674" i="1"/>
  <c r="A13673" i="1"/>
  <c r="A13672" i="1"/>
  <c r="A13671" i="1"/>
  <c r="A13670" i="1"/>
  <c r="A13669" i="1"/>
  <c r="A13668" i="1"/>
  <c r="A13667" i="1"/>
  <c r="A13666" i="1"/>
  <c r="A13665" i="1"/>
  <c r="A13664" i="1"/>
  <c r="A13663" i="1"/>
  <c r="A13662" i="1"/>
  <c r="A13661" i="1"/>
  <c r="A13660" i="1"/>
  <c r="A13659" i="1"/>
  <c r="A13658" i="1"/>
  <c r="A13657" i="1"/>
  <c r="A13656" i="1"/>
  <c r="A13655" i="1"/>
  <c r="A13654" i="1"/>
  <c r="A13653" i="1"/>
  <c r="A13652" i="1"/>
  <c r="A13651" i="1"/>
  <c r="A13650" i="1"/>
  <c r="A13649" i="1"/>
  <c r="A13648" i="1"/>
  <c r="A13647" i="1"/>
  <c r="A13646" i="1"/>
  <c r="A13645" i="1"/>
  <c r="A13644" i="1"/>
  <c r="A13643" i="1"/>
  <c r="A13642" i="1"/>
  <c r="A13641" i="1"/>
  <c r="A13640" i="1"/>
  <c r="A13639" i="1"/>
  <c r="A13638" i="1"/>
  <c r="A13637" i="1"/>
  <c r="A13636" i="1"/>
  <c r="A13635" i="1"/>
  <c r="A13634" i="1"/>
  <c r="A13633" i="1"/>
  <c r="A13632" i="1"/>
  <c r="A13631" i="1"/>
  <c r="A13630" i="1"/>
  <c r="A13629" i="1"/>
  <c r="A13628" i="1"/>
  <c r="A13627" i="1"/>
  <c r="A13626" i="1"/>
  <c r="A13625" i="1"/>
  <c r="A13624" i="1"/>
  <c r="A13623" i="1"/>
  <c r="A13622" i="1"/>
  <c r="A13621" i="1"/>
  <c r="A13620" i="1"/>
  <c r="A13619" i="1"/>
  <c r="A13618" i="1"/>
  <c r="A13617" i="1"/>
  <c r="A13616" i="1"/>
  <c r="A13615" i="1"/>
  <c r="A13614" i="1"/>
  <c r="A13613" i="1"/>
  <c r="A13612" i="1"/>
  <c r="A13611" i="1"/>
  <c r="A13610" i="1"/>
  <c r="A13609" i="1"/>
  <c r="A13608" i="1"/>
  <c r="A13607" i="1"/>
  <c r="A13606" i="1"/>
  <c r="A13605" i="1"/>
  <c r="A13604" i="1"/>
  <c r="A13603" i="1"/>
  <c r="A13602" i="1"/>
  <c r="A13601" i="1"/>
  <c r="A13600" i="1"/>
  <c r="A13599" i="1"/>
  <c r="A13598" i="1"/>
  <c r="A13597" i="1"/>
  <c r="A13596" i="1"/>
  <c r="A13595" i="1"/>
  <c r="A13594" i="1"/>
  <c r="A13593" i="1"/>
  <c r="A13592" i="1"/>
  <c r="A13591" i="1"/>
  <c r="A13590" i="1"/>
  <c r="A13589" i="1"/>
  <c r="A13588" i="1"/>
  <c r="A13587" i="1"/>
  <c r="A13586" i="1"/>
  <c r="A13585" i="1"/>
  <c r="A13584" i="1"/>
  <c r="A13583" i="1"/>
  <c r="A13582" i="1"/>
  <c r="A13581" i="1"/>
  <c r="A13580" i="1"/>
  <c r="A13579" i="1"/>
  <c r="A13578" i="1"/>
  <c r="A13577" i="1"/>
  <c r="A13576" i="1"/>
  <c r="A13575" i="1"/>
  <c r="A13574" i="1"/>
  <c r="A13573" i="1"/>
  <c r="A13572" i="1"/>
  <c r="A13571" i="1"/>
  <c r="A13570" i="1"/>
  <c r="A13569" i="1"/>
  <c r="A13568" i="1"/>
  <c r="A13567" i="1"/>
  <c r="A13566" i="1"/>
  <c r="A13565" i="1"/>
  <c r="A13564" i="1"/>
  <c r="A13563" i="1"/>
  <c r="A13562" i="1"/>
  <c r="A13561" i="1"/>
  <c r="A13560" i="1"/>
  <c r="A13559" i="1"/>
  <c r="A13558" i="1"/>
  <c r="A13557" i="1"/>
  <c r="A13556" i="1"/>
  <c r="A13555" i="1"/>
  <c r="A13554" i="1"/>
  <c r="A13553" i="1"/>
  <c r="A13552" i="1"/>
  <c r="A13551" i="1"/>
  <c r="A13550" i="1"/>
  <c r="A13549" i="1"/>
  <c r="A13548" i="1"/>
  <c r="A13547" i="1"/>
  <c r="A13546" i="1"/>
  <c r="A13545" i="1"/>
  <c r="A13544" i="1"/>
  <c r="A13543" i="1"/>
  <c r="A13542" i="1"/>
  <c r="A13541" i="1"/>
  <c r="A13540" i="1"/>
  <c r="A13539" i="1"/>
  <c r="A13538" i="1"/>
  <c r="A13537" i="1"/>
  <c r="A13536" i="1"/>
  <c r="A13535" i="1"/>
  <c r="A13534" i="1"/>
  <c r="A13533" i="1"/>
  <c r="A13532" i="1"/>
  <c r="A13531" i="1"/>
  <c r="A13530" i="1"/>
  <c r="A13529" i="1"/>
  <c r="A13528" i="1"/>
  <c r="A13527" i="1"/>
  <c r="A13526" i="1"/>
  <c r="A13525" i="1"/>
  <c r="A13524" i="1"/>
  <c r="A13523" i="1"/>
  <c r="A13522" i="1"/>
  <c r="A13521" i="1"/>
  <c r="A13520" i="1"/>
  <c r="A13519" i="1"/>
  <c r="A13518" i="1"/>
  <c r="A13517" i="1"/>
  <c r="A13516" i="1"/>
  <c r="A13515" i="1"/>
  <c r="A13514" i="1"/>
  <c r="A13513" i="1"/>
  <c r="A13512" i="1"/>
  <c r="A13511" i="1"/>
  <c r="A13510" i="1"/>
  <c r="A13509" i="1"/>
  <c r="A13508" i="1"/>
  <c r="A13507" i="1"/>
  <c r="A13506" i="1"/>
  <c r="A13505" i="1"/>
  <c r="A13504" i="1"/>
  <c r="A13503" i="1"/>
  <c r="A13502" i="1"/>
  <c r="A13501" i="1"/>
  <c r="A13500" i="1"/>
  <c r="A13499" i="1"/>
  <c r="A13498" i="1"/>
  <c r="A13497" i="1"/>
  <c r="A13496" i="1"/>
  <c r="A13495" i="1"/>
  <c r="A13494" i="1"/>
  <c r="A13493" i="1"/>
  <c r="A13492" i="1"/>
  <c r="A13491" i="1"/>
  <c r="A13490" i="1"/>
  <c r="A13489" i="1"/>
  <c r="A13488" i="1"/>
  <c r="A13487" i="1"/>
  <c r="A13486" i="1"/>
  <c r="A13485" i="1"/>
  <c r="A13484" i="1"/>
  <c r="A13483" i="1"/>
  <c r="A13482" i="1"/>
  <c r="A13481" i="1"/>
  <c r="A13480" i="1"/>
  <c r="A13479" i="1"/>
  <c r="A13478" i="1"/>
  <c r="A13477" i="1"/>
  <c r="A13476" i="1"/>
  <c r="A13475" i="1"/>
  <c r="A13474" i="1"/>
  <c r="A13473" i="1"/>
  <c r="A13472" i="1"/>
  <c r="A13471" i="1"/>
  <c r="A13470" i="1"/>
  <c r="A13469" i="1"/>
  <c r="A13468" i="1"/>
  <c r="A13467" i="1"/>
  <c r="A13466" i="1"/>
  <c r="A13465" i="1"/>
  <c r="A13464" i="1"/>
  <c r="A13463" i="1"/>
  <c r="A13462" i="1"/>
  <c r="A13461" i="1"/>
  <c r="A13460" i="1"/>
  <c r="A13459" i="1"/>
  <c r="A13458" i="1"/>
  <c r="A13457" i="1"/>
  <c r="A13456" i="1"/>
  <c r="A13455" i="1"/>
  <c r="A13454" i="1"/>
  <c r="A13453" i="1"/>
  <c r="A13452" i="1"/>
  <c r="A13451" i="1"/>
  <c r="A13450" i="1"/>
  <c r="A13449" i="1"/>
  <c r="A13448" i="1"/>
  <c r="A13447" i="1"/>
  <c r="A13446" i="1"/>
  <c r="A13445" i="1"/>
  <c r="A13444" i="1"/>
  <c r="A13443" i="1"/>
  <c r="A13442" i="1"/>
  <c r="A13441" i="1"/>
  <c r="A13440" i="1"/>
  <c r="A13439" i="1"/>
  <c r="A13438" i="1"/>
  <c r="A13437" i="1"/>
  <c r="A13436" i="1"/>
  <c r="A13435" i="1"/>
  <c r="A13434" i="1"/>
  <c r="A13433" i="1"/>
  <c r="A13432" i="1"/>
  <c r="A13431" i="1"/>
  <c r="A13430" i="1"/>
  <c r="A13429" i="1"/>
  <c r="A13428" i="1"/>
  <c r="A13427" i="1"/>
  <c r="A13426" i="1"/>
  <c r="A13425" i="1"/>
  <c r="A13424" i="1"/>
  <c r="A13423" i="1"/>
  <c r="A13422" i="1"/>
  <c r="A13421" i="1"/>
  <c r="A13420" i="1"/>
  <c r="A13419" i="1"/>
  <c r="A13418" i="1"/>
  <c r="A13417" i="1"/>
  <c r="A13416" i="1"/>
  <c r="A13415" i="1"/>
  <c r="A13414" i="1"/>
  <c r="A13413" i="1"/>
  <c r="A13412" i="1"/>
  <c r="A13411" i="1"/>
  <c r="A13410" i="1"/>
  <c r="A13409" i="1"/>
  <c r="A13408" i="1"/>
  <c r="A13407" i="1"/>
  <c r="A13406" i="1"/>
  <c r="A13405" i="1"/>
  <c r="A13404" i="1"/>
  <c r="A13403" i="1"/>
  <c r="A13402" i="1"/>
  <c r="A13401" i="1"/>
  <c r="A13400" i="1"/>
  <c r="A13399" i="1"/>
  <c r="A13398" i="1"/>
  <c r="A13397" i="1"/>
  <c r="A13396" i="1"/>
  <c r="A13395" i="1"/>
  <c r="A13394" i="1"/>
  <c r="A13393" i="1"/>
  <c r="A13392" i="1"/>
  <c r="A13391" i="1"/>
  <c r="A13390" i="1"/>
  <c r="A13389" i="1"/>
  <c r="A13388" i="1"/>
  <c r="A13387" i="1"/>
  <c r="A13386" i="1"/>
  <c r="A13385" i="1"/>
  <c r="A13384" i="1"/>
  <c r="A13383" i="1"/>
  <c r="A13382" i="1"/>
  <c r="A13381" i="1"/>
  <c r="A13380" i="1"/>
  <c r="A13379" i="1"/>
  <c r="A13378" i="1"/>
  <c r="A13377" i="1"/>
  <c r="A13376" i="1"/>
  <c r="A13375" i="1"/>
  <c r="A13374" i="1"/>
  <c r="A13373" i="1"/>
  <c r="A13372" i="1"/>
  <c r="A13371" i="1"/>
  <c r="A13370" i="1"/>
  <c r="A13369" i="1"/>
  <c r="A13368" i="1"/>
  <c r="A13367" i="1"/>
  <c r="A13366" i="1"/>
  <c r="A13365" i="1"/>
  <c r="A13364" i="1"/>
  <c r="A13363" i="1"/>
  <c r="A13362" i="1"/>
  <c r="A13361" i="1"/>
  <c r="A13360" i="1"/>
  <c r="A13359" i="1"/>
  <c r="A13358" i="1"/>
  <c r="A13357" i="1"/>
  <c r="A13356" i="1"/>
  <c r="A13355" i="1"/>
  <c r="A13354" i="1"/>
  <c r="A13353" i="1"/>
  <c r="A13352" i="1"/>
  <c r="A13351" i="1"/>
  <c r="A13350" i="1"/>
  <c r="A13349" i="1"/>
  <c r="A13348" i="1"/>
  <c r="A13347" i="1"/>
  <c r="A13346" i="1"/>
  <c r="A13345" i="1"/>
  <c r="A13344" i="1"/>
  <c r="A13343" i="1"/>
  <c r="A13342" i="1"/>
  <c r="A13341" i="1"/>
  <c r="A13340" i="1"/>
  <c r="A13339" i="1"/>
  <c r="A13338" i="1"/>
  <c r="A13337" i="1"/>
  <c r="A13336" i="1"/>
  <c r="A13335" i="1"/>
  <c r="A13334" i="1"/>
  <c r="A13333" i="1"/>
  <c r="A13332" i="1"/>
  <c r="A13331" i="1"/>
  <c r="A13330" i="1"/>
  <c r="A13329" i="1"/>
  <c r="A13328" i="1"/>
  <c r="A13327" i="1"/>
  <c r="A13326" i="1"/>
  <c r="A13325" i="1"/>
  <c r="A13324" i="1"/>
  <c r="A13323" i="1"/>
  <c r="A13322" i="1"/>
  <c r="A13321" i="1"/>
  <c r="A13320" i="1"/>
  <c r="A13319" i="1"/>
  <c r="A13318" i="1"/>
  <c r="A13317" i="1"/>
  <c r="A13316" i="1"/>
  <c r="A13315" i="1"/>
  <c r="A13314" i="1"/>
  <c r="A13313" i="1"/>
  <c r="A13312" i="1"/>
  <c r="A13311" i="1"/>
  <c r="A13310" i="1"/>
  <c r="A13309" i="1"/>
  <c r="A13308" i="1"/>
  <c r="A13307" i="1"/>
  <c r="A13306" i="1"/>
  <c r="A13305" i="1"/>
  <c r="A13304" i="1"/>
  <c r="A13303" i="1"/>
  <c r="A13302" i="1"/>
  <c r="A13301" i="1"/>
  <c r="A13300" i="1"/>
  <c r="A13299" i="1"/>
  <c r="A13298" i="1"/>
  <c r="A13297" i="1"/>
  <c r="A13296" i="1"/>
  <c r="A13295" i="1"/>
  <c r="A13294" i="1"/>
  <c r="A13293" i="1"/>
  <c r="A13292" i="1"/>
  <c r="A13291" i="1"/>
  <c r="A13290" i="1"/>
  <c r="A13289" i="1"/>
  <c r="A13288" i="1"/>
  <c r="A13287" i="1"/>
  <c r="A13286" i="1"/>
  <c r="A13285" i="1"/>
  <c r="A13284" i="1"/>
  <c r="A13283" i="1"/>
  <c r="A13282" i="1"/>
  <c r="A13281" i="1"/>
  <c r="A13280" i="1"/>
  <c r="A13279" i="1"/>
  <c r="A13278" i="1"/>
  <c r="A13277" i="1"/>
  <c r="A13276" i="1"/>
  <c r="A13275" i="1"/>
  <c r="A13274" i="1"/>
  <c r="A13273" i="1"/>
  <c r="A13272" i="1"/>
  <c r="A13271" i="1"/>
  <c r="A13270" i="1"/>
  <c r="A13269" i="1"/>
  <c r="A13268" i="1"/>
  <c r="A13267" i="1"/>
  <c r="A13266" i="1"/>
  <c r="A13265" i="1"/>
  <c r="A13264" i="1"/>
  <c r="A13263" i="1"/>
  <c r="A13262" i="1"/>
  <c r="A13261" i="1"/>
  <c r="A13260" i="1"/>
  <c r="A13259" i="1"/>
  <c r="A13258" i="1"/>
  <c r="A13257" i="1"/>
  <c r="A13256" i="1"/>
  <c r="A13255" i="1"/>
  <c r="A13254" i="1"/>
  <c r="A13253" i="1"/>
  <c r="A13252" i="1"/>
  <c r="A13251" i="1"/>
  <c r="A13250" i="1"/>
  <c r="A13249" i="1"/>
  <c r="A13248" i="1"/>
  <c r="A13247" i="1"/>
  <c r="A13246" i="1"/>
  <c r="A13245" i="1"/>
  <c r="A13244" i="1"/>
  <c r="A13243" i="1"/>
  <c r="A13242" i="1"/>
  <c r="A13241" i="1"/>
  <c r="A13240" i="1"/>
  <c r="A13239" i="1"/>
  <c r="A13238" i="1"/>
  <c r="A13237" i="1"/>
  <c r="A13236" i="1"/>
  <c r="A13235" i="1"/>
  <c r="A13234" i="1"/>
  <c r="A13233" i="1"/>
  <c r="A13232" i="1"/>
  <c r="A13231" i="1"/>
  <c r="A13230" i="1"/>
  <c r="A13229" i="1"/>
  <c r="A13228" i="1"/>
  <c r="A13227" i="1"/>
  <c r="A13226" i="1"/>
  <c r="A13225" i="1"/>
  <c r="A13224" i="1"/>
  <c r="A13223" i="1"/>
  <c r="A13222" i="1"/>
  <c r="A13221" i="1"/>
  <c r="A13220" i="1"/>
  <c r="A13219" i="1"/>
  <c r="A13218" i="1"/>
  <c r="A13217" i="1"/>
  <c r="A13216" i="1"/>
  <c r="A13215" i="1"/>
  <c r="A13214" i="1"/>
  <c r="A13213" i="1"/>
  <c r="A13212" i="1"/>
  <c r="A13211" i="1"/>
  <c r="A13210" i="1"/>
  <c r="A13209" i="1"/>
  <c r="A13208" i="1"/>
  <c r="A13207" i="1"/>
  <c r="A13206" i="1"/>
  <c r="A13205" i="1"/>
  <c r="A13204" i="1"/>
  <c r="A13203" i="1"/>
  <c r="A13202" i="1"/>
  <c r="A13201" i="1"/>
  <c r="A13200" i="1"/>
  <c r="A13199" i="1"/>
  <c r="A13198" i="1"/>
  <c r="A13197" i="1"/>
  <c r="A13196" i="1"/>
  <c r="A13195" i="1"/>
  <c r="A13194" i="1"/>
  <c r="A13193" i="1"/>
  <c r="A13192" i="1"/>
  <c r="A13191" i="1"/>
  <c r="A13190" i="1"/>
  <c r="A13189" i="1"/>
  <c r="A13188" i="1"/>
  <c r="A13187" i="1"/>
  <c r="A13186" i="1"/>
  <c r="A13185" i="1"/>
  <c r="A13184" i="1"/>
  <c r="A13183" i="1"/>
  <c r="A13182" i="1"/>
  <c r="A13181" i="1"/>
  <c r="A13180" i="1"/>
  <c r="A13179" i="1"/>
  <c r="A13178" i="1"/>
  <c r="A13177" i="1"/>
  <c r="A13176" i="1"/>
  <c r="A13175" i="1"/>
  <c r="A13174" i="1"/>
  <c r="A13173" i="1"/>
  <c r="A13172" i="1"/>
  <c r="A13171" i="1"/>
  <c r="A13170" i="1"/>
  <c r="A13169" i="1"/>
  <c r="A13168" i="1"/>
  <c r="A13167" i="1"/>
  <c r="A13166" i="1"/>
  <c r="A13165" i="1"/>
  <c r="A13164" i="1"/>
  <c r="A13163" i="1"/>
  <c r="A13162" i="1"/>
  <c r="A13161" i="1"/>
  <c r="A13160" i="1"/>
  <c r="A13159" i="1"/>
  <c r="A13158" i="1"/>
  <c r="A13157" i="1"/>
  <c r="A13156" i="1"/>
  <c r="A13155" i="1"/>
  <c r="A13154" i="1"/>
  <c r="A13153" i="1"/>
  <c r="A13152" i="1"/>
  <c r="A13151" i="1"/>
  <c r="A13150" i="1"/>
  <c r="A13149" i="1"/>
  <c r="A13148" i="1"/>
  <c r="A13147" i="1"/>
  <c r="A13146" i="1"/>
  <c r="A13145" i="1"/>
  <c r="A13144" i="1"/>
  <c r="A13143" i="1"/>
  <c r="A13142" i="1"/>
  <c r="A13141" i="1"/>
  <c r="A13140" i="1"/>
  <c r="A13139" i="1"/>
  <c r="A13138" i="1"/>
  <c r="A13137" i="1"/>
  <c r="A13136" i="1"/>
  <c r="A13135" i="1"/>
  <c r="A13134" i="1"/>
  <c r="A13133" i="1"/>
  <c r="A13132" i="1"/>
  <c r="A13131" i="1"/>
  <c r="A13130" i="1"/>
  <c r="A13129" i="1"/>
  <c r="A13128" i="1"/>
  <c r="A13127" i="1"/>
  <c r="A13126" i="1"/>
  <c r="A13125" i="1"/>
  <c r="A13124" i="1"/>
  <c r="A13123" i="1"/>
  <c r="A13122" i="1"/>
  <c r="A13121" i="1"/>
  <c r="A13120" i="1"/>
  <c r="A13119" i="1"/>
  <c r="A13118" i="1"/>
  <c r="A13117" i="1"/>
  <c r="A13116" i="1"/>
  <c r="A13115" i="1"/>
  <c r="A13114" i="1"/>
  <c r="A13113" i="1"/>
  <c r="A13112" i="1"/>
  <c r="A13111" i="1"/>
  <c r="A13110" i="1"/>
  <c r="A13109" i="1"/>
  <c r="A13108" i="1"/>
  <c r="A13107" i="1"/>
  <c r="A13106" i="1"/>
  <c r="A13105" i="1"/>
  <c r="A13104" i="1"/>
  <c r="A13103" i="1"/>
  <c r="A13102" i="1"/>
  <c r="A13101" i="1"/>
  <c r="A13100" i="1"/>
  <c r="A13099" i="1"/>
  <c r="A13098" i="1"/>
  <c r="A13097" i="1"/>
  <c r="A13096" i="1"/>
  <c r="A13095" i="1"/>
  <c r="A13094" i="1"/>
  <c r="A13093" i="1"/>
  <c r="A13092" i="1"/>
  <c r="A13091" i="1"/>
  <c r="A13090" i="1"/>
  <c r="A13089" i="1"/>
  <c r="A13088" i="1"/>
  <c r="A13087" i="1"/>
  <c r="A13086" i="1"/>
  <c r="A13085" i="1"/>
  <c r="A13084" i="1"/>
  <c r="A13083" i="1"/>
  <c r="A13082" i="1"/>
  <c r="A13081" i="1"/>
  <c r="A13080" i="1"/>
  <c r="A13079" i="1"/>
  <c r="A13078" i="1"/>
  <c r="A13077" i="1"/>
  <c r="A13076" i="1"/>
  <c r="A13075" i="1"/>
  <c r="A13074" i="1"/>
  <c r="A13073" i="1"/>
  <c r="A13072" i="1"/>
  <c r="A13071" i="1"/>
  <c r="A13070" i="1"/>
  <c r="A13069" i="1"/>
  <c r="A13068" i="1"/>
  <c r="A13067" i="1"/>
  <c r="A13066" i="1"/>
  <c r="A13065" i="1"/>
  <c r="A13064" i="1"/>
  <c r="A13063" i="1"/>
  <c r="A13062" i="1"/>
  <c r="A13061" i="1"/>
  <c r="A13060" i="1"/>
  <c r="A13059" i="1"/>
  <c r="A13058" i="1"/>
  <c r="A13057" i="1"/>
  <c r="A13056" i="1"/>
  <c r="A13055" i="1"/>
  <c r="A13054" i="1"/>
  <c r="A13053" i="1"/>
  <c r="A13052" i="1"/>
  <c r="A13051" i="1"/>
  <c r="A13050" i="1"/>
  <c r="A13049" i="1"/>
  <c r="A13048" i="1"/>
  <c r="A13047" i="1"/>
  <c r="A13046" i="1"/>
  <c r="A13045" i="1"/>
  <c r="A13044" i="1"/>
  <c r="A13043" i="1"/>
  <c r="A13042" i="1"/>
  <c r="A13041" i="1"/>
  <c r="A13040" i="1"/>
  <c r="A13039" i="1"/>
  <c r="A13038" i="1"/>
  <c r="A13037" i="1"/>
  <c r="A13036" i="1"/>
  <c r="A13035" i="1"/>
  <c r="A13034" i="1"/>
  <c r="A13033" i="1"/>
  <c r="A13032" i="1"/>
  <c r="A13031" i="1"/>
  <c r="A13030" i="1"/>
  <c r="A13029" i="1"/>
  <c r="A13028" i="1"/>
  <c r="A13027" i="1"/>
  <c r="A13026" i="1"/>
  <c r="A13025" i="1"/>
  <c r="A13024" i="1"/>
  <c r="A13023" i="1"/>
  <c r="A13022" i="1"/>
  <c r="A13021" i="1"/>
  <c r="A13020" i="1"/>
  <c r="A13019" i="1"/>
  <c r="A13018" i="1"/>
  <c r="A13017" i="1"/>
  <c r="A13016" i="1"/>
  <c r="A13015" i="1"/>
  <c r="A13014" i="1"/>
  <c r="A13013" i="1"/>
  <c r="A13012" i="1"/>
  <c r="A13011" i="1"/>
  <c r="A13010" i="1"/>
  <c r="A13009" i="1"/>
  <c r="A13008" i="1"/>
  <c r="A13007" i="1"/>
  <c r="A13006" i="1"/>
  <c r="A13005" i="1"/>
  <c r="A13004" i="1"/>
  <c r="A13003" i="1"/>
  <c r="A13002" i="1"/>
  <c r="A13001" i="1"/>
  <c r="A13000" i="1"/>
  <c r="A12999" i="1"/>
  <c r="A12998" i="1"/>
  <c r="A12997" i="1"/>
  <c r="A12996" i="1"/>
  <c r="A12995" i="1"/>
  <c r="A12994" i="1"/>
  <c r="A12993" i="1"/>
  <c r="A12992" i="1"/>
  <c r="A12991" i="1"/>
  <c r="A12990" i="1"/>
  <c r="A12989" i="1"/>
  <c r="A12988" i="1"/>
  <c r="A12987" i="1"/>
  <c r="A12986" i="1"/>
  <c r="A12985" i="1"/>
  <c r="A12984" i="1"/>
  <c r="A12983" i="1"/>
  <c r="A12982" i="1"/>
  <c r="A12981" i="1"/>
  <c r="A12980" i="1"/>
  <c r="A12979" i="1"/>
  <c r="A12978" i="1"/>
  <c r="A12977" i="1"/>
  <c r="A12976" i="1"/>
  <c r="A12975" i="1"/>
  <c r="A12974" i="1"/>
  <c r="A12973" i="1"/>
  <c r="A12972" i="1"/>
  <c r="A12971" i="1"/>
  <c r="A12970" i="1"/>
  <c r="A12969" i="1"/>
  <c r="A12968" i="1"/>
  <c r="A12967" i="1"/>
  <c r="A12966" i="1"/>
  <c r="A12965" i="1"/>
  <c r="A12964" i="1"/>
  <c r="A12963" i="1"/>
  <c r="A12962" i="1"/>
  <c r="A12961" i="1"/>
  <c r="A12960" i="1"/>
  <c r="A12959" i="1"/>
  <c r="A12958" i="1"/>
  <c r="A12957" i="1"/>
  <c r="A12956" i="1"/>
  <c r="A12955" i="1"/>
  <c r="A12954" i="1"/>
  <c r="A12953" i="1"/>
  <c r="A12952" i="1"/>
  <c r="A12951" i="1"/>
  <c r="A12950" i="1"/>
  <c r="A12949" i="1"/>
  <c r="A12948" i="1"/>
  <c r="A12947" i="1"/>
  <c r="A12946" i="1"/>
  <c r="A12945" i="1"/>
  <c r="A12944" i="1"/>
  <c r="A12943" i="1"/>
  <c r="A12942" i="1"/>
  <c r="A12941" i="1"/>
  <c r="A12940" i="1"/>
  <c r="A12939" i="1"/>
  <c r="A12938" i="1"/>
  <c r="A12937" i="1"/>
  <c r="A12936" i="1"/>
  <c r="A12935" i="1"/>
  <c r="A12934" i="1"/>
  <c r="A12933" i="1"/>
  <c r="A12932" i="1"/>
  <c r="A12931" i="1"/>
  <c r="A12930" i="1"/>
  <c r="A12929" i="1"/>
  <c r="A12928" i="1"/>
  <c r="A12927" i="1"/>
  <c r="A12926" i="1"/>
  <c r="A12925" i="1"/>
  <c r="A12924" i="1"/>
  <c r="A12923" i="1"/>
  <c r="A12922" i="1"/>
  <c r="A12921" i="1"/>
  <c r="A12920" i="1"/>
  <c r="A12919" i="1"/>
  <c r="A12918" i="1"/>
  <c r="A12917" i="1"/>
  <c r="A12916" i="1"/>
  <c r="A12915" i="1"/>
  <c r="A12914" i="1"/>
  <c r="A12913" i="1"/>
  <c r="A12912" i="1"/>
  <c r="A12911" i="1"/>
  <c r="A12910" i="1"/>
  <c r="A12909" i="1"/>
  <c r="A12908" i="1"/>
  <c r="A12907" i="1"/>
  <c r="A12906" i="1"/>
  <c r="A12905" i="1"/>
  <c r="A12904" i="1"/>
  <c r="A12903" i="1"/>
  <c r="A12902" i="1"/>
  <c r="A12901" i="1"/>
  <c r="A12900" i="1"/>
  <c r="A12899" i="1"/>
  <c r="A12898" i="1"/>
  <c r="A12897" i="1"/>
  <c r="A12896" i="1"/>
  <c r="A12895" i="1"/>
  <c r="A12894" i="1"/>
  <c r="A12893" i="1"/>
  <c r="A12892" i="1"/>
  <c r="A12891" i="1"/>
  <c r="A12890" i="1"/>
  <c r="A12889" i="1"/>
  <c r="A12888" i="1"/>
  <c r="A12887" i="1"/>
  <c r="A12886" i="1"/>
  <c r="A12885" i="1"/>
  <c r="A12884" i="1"/>
  <c r="A12883" i="1"/>
  <c r="A12882" i="1"/>
  <c r="A12881" i="1"/>
  <c r="A12880" i="1"/>
  <c r="A12879" i="1"/>
  <c r="A12878" i="1"/>
  <c r="A12877" i="1"/>
  <c r="A12876" i="1"/>
  <c r="A12875" i="1"/>
  <c r="A12874" i="1"/>
  <c r="A12873" i="1"/>
  <c r="A12872" i="1"/>
  <c r="A12871" i="1"/>
  <c r="A12870" i="1"/>
  <c r="A12869" i="1"/>
  <c r="A12868" i="1"/>
  <c r="A12867" i="1"/>
  <c r="A12866" i="1"/>
  <c r="A12865" i="1"/>
  <c r="A12864" i="1"/>
  <c r="A12863" i="1"/>
  <c r="A12862" i="1"/>
  <c r="A12861" i="1"/>
  <c r="A12860" i="1"/>
  <c r="A12859" i="1"/>
  <c r="A12858" i="1"/>
  <c r="A12857" i="1"/>
  <c r="A12856" i="1"/>
  <c r="A12855" i="1"/>
  <c r="A12854" i="1"/>
  <c r="A12853" i="1"/>
  <c r="A12852" i="1"/>
  <c r="A12851" i="1"/>
  <c r="A12850" i="1"/>
  <c r="A12849" i="1"/>
  <c r="A12848" i="1"/>
  <c r="A12847" i="1"/>
  <c r="A12846" i="1"/>
  <c r="A12845" i="1"/>
  <c r="A12844" i="1"/>
  <c r="A12843" i="1"/>
  <c r="A12842" i="1"/>
  <c r="A12841" i="1"/>
  <c r="A12840" i="1"/>
  <c r="A12839" i="1"/>
  <c r="A12838" i="1"/>
  <c r="A12837" i="1"/>
  <c r="A12836" i="1"/>
  <c r="A12835" i="1"/>
  <c r="A12834" i="1"/>
  <c r="A12833" i="1"/>
  <c r="A12832" i="1"/>
  <c r="A12831" i="1"/>
  <c r="A12830" i="1"/>
  <c r="A12829" i="1"/>
  <c r="A12828" i="1"/>
  <c r="A12827" i="1"/>
  <c r="A12826" i="1"/>
  <c r="A12825" i="1"/>
  <c r="A12824" i="1"/>
  <c r="A12823" i="1"/>
  <c r="A12822" i="1"/>
  <c r="A12821" i="1"/>
  <c r="A12820" i="1"/>
  <c r="A12819" i="1"/>
  <c r="A12818" i="1"/>
  <c r="A12817" i="1"/>
  <c r="A12816" i="1"/>
  <c r="A12815" i="1"/>
  <c r="A12814" i="1"/>
  <c r="A12813" i="1"/>
  <c r="A12812" i="1"/>
  <c r="A12811" i="1"/>
  <c r="A12810" i="1"/>
  <c r="A12809" i="1"/>
  <c r="A12808" i="1"/>
  <c r="A12807" i="1"/>
  <c r="A12806" i="1"/>
  <c r="A12805" i="1"/>
  <c r="A12804" i="1"/>
  <c r="A12803" i="1"/>
  <c r="A12802" i="1"/>
  <c r="A12801" i="1"/>
  <c r="A12800" i="1"/>
  <c r="A12799" i="1"/>
  <c r="A12798" i="1"/>
  <c r="A12797" i="1"/>
  <c r="A12796" i="1"/>
  <c r="A12795" i="1"/>
  <c r="A12794" i="1"/>
  <c r="A12793" i="1"/>
  <c r="A12792" i="1"/>
  <c r="A12791" i="1"/>
  <c r="A12790" i="1"/>
  <c r="A12789" i="1"/>
  <c r="A12788" i="1"/>
  <c r="A12787" i="1"/>
  <c r="A12786" i="1"/>
  <c r="A12785" i="1"/>
  <c r="A12784" i="1"/>
  <c r="A12783" i="1"/>
  <c r="A12782" i="1"/>
  <c r="A12781" i="1"/>
  <c r="A12780" i="1"/>
  <c r="A12779" i="1"/>
  <c r="A12778" i="1"/>
  <c r="A12777" i="1"/>
  <c r="A12776" i="1"/>
  <c r="A12775" i="1"/>
  <c r="A12774" i="1"/>
  <c r="A12773" i="1"/>
  <c r="A12772" i="1"/>
  <c r="A12771" i="1"/>
  <c r="A12770" i="1"/>
  <c r="A12769" i="1"/>
  <c r="A12768" i="1"/>
  <c r="A12767" i="1"/>
  <c r="A12766" i="1"/>
  <c r="A12765" i="1"/>
  <c r="A12764" i="1"/>
  <c r="A12763" i="1"/>
  <c r="A12762" i="1"/>
  <c r="A12761" i="1"/>
  <c r="A12760" i="1"/>
  <c r="A12759" i="1"/>
  <c r="A12758" i="1"/>
  <c r="A12757" i="1"/>
  <c r="A12756" i="1"/>
  <c r="A12755" i="1"/>
  <c r="A12754" i="1"/>
  <c r="A12753" i="1"/>
  <c r="A12752" i="1"/>
  <c r="A12751" i="1"/>
  <c r="A12750" i="1"/>
  <c r="A12749" i="1"/>
  <c r="A12748" i="1"/>
  <c r="A12747" i="1"/>
  <c r="A12746" i="1"/>
  <c r="A12745" i="1"/>
  <c r="A12744" i="1"/>
  <c r="A12743" i="1"/>
  <c r="A12742" i="1"/>
  <c r="A12741" i="1"/>
  <c r="A12740" i="1"/>
  <c r="A12739" i="1"/>
  <c r="A12738" i="1"/>
  <c r="A12737" i="1"/>
  <c r="A12736" i="1"/>
  <c r="A12735" i="1"/>
  <c r="A12734" i="1"/>
  <c r="A12733" i="1"/>
  <c r="A12732" i="1"/>
  <c r="A12731" i="1"/>
  <c r="A12730" i="1"/>
  <c r="A12729" i="1"/>
  <c r="A12728" i="1"/>
  <c r="A12727" i="1"/>
  <c r="A12726" i="1"/>
  <c r="A12725" i="1"/>
  <c r="A12724" i="1"/>
  <c r="A12723" i="1"/>
  <c r="A12722" i="1"/>
  <c r="A12721" i="1"/>
  <c r="A12720" i="1"/>
  <c r="A12719" i="1"/>
  <c r="A12718" i="1"/>
  <c r="A12717" i="1"/>
  <c r="A12716" i="1"/>
  <c r="A12715" i="1"/>
  <c r="A12714" i="1"/>
  <c r="A12713" i="1"/>
  <c r="A12712" i="1"/>
  <c r="A12711" i="1"/>
  <c r="A12710" i="1"/>
  <c r="A12709" i="1"/>
  <c r="A12708" i="1"/>
  <c r="A12707" i="1"/>
  <c r="A12706" i="1"/>
  <c r="A12705" i="1"/>
  <c r="A12704" i="1"/>
  <c r="A12703" i="1"/>
  <c r="A12702" i="1"/>
  <c r="A12701" i="1"/>
  <c r="A12700" i="1"/>
  <c r="A12699" i="1"/>
  <c r="A12698" i="1"/>
  <c r="A12697" i="1"/>
  <c r="A12696" i="1"/>
  <c r="A12695" i="1"/>
  <c r="A12694" i="1"/>
  <c r="A12693" i="1"/>
  <c r="A12692" i="1"/>
  <c r="A12691" i="1"/>
  <c r="A12690" i="1"/>
  <c r="A12689" i="1"/>
  <c r="A12688" i="1"/>
  <c r="A12687" i="1"/>
  <c r="A12686" i="1"/>
  <c r="A12685" i="1"/>
  <c r="A12684" i="1"/>
  <c r="A12683" i="1"/>
  <c r="A12682" i="1"/>
  <c r="A12681" i="1"/>
  <c r="A12680" i="1"/>
  <c r="A12679" i="1"/>
  <c r="A12678" i="1"/>
  <c r="A12677" i="1"/>
  <c r="A12676" i="1"/>
  <c r="A12675" i="1"/>
  <c r="A12674" i="1"/>
  <c r="A12673" i="1"/>
  <c r="A12672" i="1"/>
  <c r="A12671" i="1"/>
  <c r="A12670" i="1"/>
  <c r="A12669" i="1"/>
  <c r="A12668" i="1"/>
  <c r="A12667" i="1"/>
  <c r="A12666" i="1"/>
  <c r="A12665" i="1"/>
  <c r="A12664" i="1"/>
  <c r="A12663" i="1"/>
  <c r="A12662" i="1"/>
  <c r="A12661" i="1"/>
  <c r="A12660" i="1"/>
  <c r="A12659" i="1"/>
  <c r="A12658" i="1"/>
  <c r="A12657" i="1"/>
  <c r="A12656" i="1"/>
  <c r="A12655" i="1"/>
  <c r="A12654" i="1"/>
  <c r="A12653" i="1"/>
  <c r="A12652" i="1"/>
  <c r="A12651" i="1"/>
  <c r="A12650" i="1"/>
  <c r="A12649" i="1"/>
  <c r="A12648" i="1"/>
  <c r="A12647" i="1"/>
  <c r="A12646" i="1"/>
  <c r="A12645" i="1"/>
  <c r="A12644" i="1"/>
  <c r="A12643" i="1"/>
  <c r="A12642" i="1"/>
  <c r="A12641" i="1"/>
  <c r="A12640" i="1"/>
  <c r="A12639" i="1"/>
  <c r="A12638" i="1"/>
  <c r="A12637" i="1"/>
  <c r="A12636" i="1"/>
  <c r="A12635" i="1"/>
  <c r="A12634" i="1"/>
  <c r="A12633" i="1"/>
  <c r="A12632" i="1"/>
  <c r="A12631" i="1"/>
  <c r="A12630" i="1"/>
  <c r="A12629" i="1"/>
  <c r="A12628" i="1"/>
  <c r="A12627" i="1"/>
  <c r="A12626" i="1"/>
  <c r="A12625" i="1"/>
  <c r="A12624" i="1"/>
  <c r="A12623" i="1"/>
  <c r="A12622" i="1"/>
  <c r="A12621" i="1"/>
  <c r="A12620" i="1"/>
  <c r="A12619" i="1"/>
  <c r="A12618" i="1"/>
  <c r="A12617" i="1"/>
  <c r="A12616" i="1"/>
  <c r="A12615" i="1"/>
  <c r="A12614" i="1"/>
  <c r="A12613" i="1"/>
  <c r="A12612" i="1"/>
  <c r="A12611" i="1"/>
  <c r="A12610" i="1"/>
  <c r="A12609" i="1"/>
  <c r="A12608" i="1"/>
  <c r="A12607" i="1"/>
  <c r="A12606" i="1"/>
  <c r="A12605" i="1"/>
  <c r="A12604" i="1"/>
  <c r="A12603" i="1"/>
  <c r="A12602" i="1"/>
  <c r="A12601" i="1"/>
  <c r="A12600" i="1"/>
  <c r="A12599" i="1"/>
  <c r="A12598" i="1"/>
  <c r="A12597" i="1"/>
  <c r="A12596" i="1"/>
  <c r="A12595" i="1"/>
  <c r="A12594" i="1"/>
  <c r="A12593" i="1"/>
  <c r="A12592" i="1"/>
  <c r="A12591" i="1"/>
  <c r="A12590" i="1"/>
  <c r="A12589" i="1"/>
  <c r="A12588" i="1"/>
  <c r="A12587" i="1"/>
  <c r="A12586" i="1"/>
  <c r="A12585" i="1"/>
  <c r="A12584" i="1"/>
  <c r="A12583" i="1"/>
  <c r="A12582" i="1"/>
  <c r="A12581" i="1"/>
  <c r="A12580" i="1"/>
  <c r="A12579" i="1"/>
  <c r="A12578" i="1"/>
  <c r="A12577" i="1"/>
  <c r="A12576" i="1"/>
  <c r="A12575" i="1"/>
  <c r="A12574" i="1"/>
  <c r="A12573" i="1"/>
  <c r="A12572" i="1"/>
  <c r="A12571" i="1"/>
  <c r="A12570" i="1"/>
  <c r="A12569" i="1"/>
  <c r="A12568" i="1"/>
  <c r="A12567" i="1"/>
  <c r="A12566" i="1"/>
  <c r="A12565" i="1"/>
  <c r="A12564" i="1"/>
  <c r="A12563" i="1"/>
  <c r="A12562" i="1"/>
  <c r="A12561" i="1"/>
  <c r="A12560" i="1"/>
  <c r="A12559" i="1"/>
  <c r="A12558" i="1"/>
  <c r="A12557" i="1"/>
  <c r="A12556" i="1"/>
  <c r="A12555" i="1"/>
  <c r="A12554" i="1"/>
  <c r="A12553" i="1"/>
  <c r="A12552" i="1"/>
  <c r="A12551" i="1"/>
  <c r="A12550" i="1"/>
  <c r="A12549" i="1"/>
  <c r="A12548" i="1"/>
  <c r="A12547" i="1"/>
  <c r="A12546" i="1"/>
  <c r="A12545" i="1"/>
  <c r="A12544" i="1"/>
  <c r="A12543" i="1"/>
  <c r="A12542" i="1"/>
  <c r="A12541" i="1"/>
  <c r="A12540" i="1"/>
  <c r="A12539" i="1"/>
  <c r="A12538" i="1"/>
  <c r="A12537" i="1"/>
  <c r="A12536" i="1"/>
  <c r="A12535" i="1"/>
  <c r="A12534" i="1"/>
  <c r="A12533" i="1"/>
  <c r="A12532" i="1"/>
  <c r="A12531" i="1"/>
  <c r="A12530" i="1"/>
  <c r="A12529" i="1"/>
  <c r="A12528" i="1"/>
  <c r="A12527" i="1"/>
  <c r="A12526" i="1"/>
  <c r="A12525" i="1"/>
  <c r="A12524" i="1"/>
  <c r="A12523" i="1"/>
  <c r="A12522" i="1"/>
  <c r="A12521" i="1"/>
  <c r="A12520" i="1"/>
  <c r="A12519" i="1"/>
  <c r="A12518" i="1"/>
  <c r="A12517" i="1"/>
  <c r="A12516" i="1"/>
  <c r="A12515" i="1"/>
  <c r="A12514" i="1"/>
  <c r="A12513" i="1"/>
  <c r="A12512" i="1"/>
  <c r="A12511" i="1"/>
  <c r="A12510" i="1"/>
  <c r="A12509" i="1"/>
  <c r="A12508" i="1"/>
  <c r="A12507" i="1"/>
  <c r="A12506" i="1"/>
  <c r="A12505" i="1"/>
  <c r="A12504" i="1"/>
  <c r="A12503" i="1"/>
  <c r="A12502" i="1"/>
  <c r="A12501" i="1"/>
  <c r="A12500" i="1"/>
  <c r="A12499" i="1"/>
  <c r="A12498" i="1"/>
  <c r="A12497" i="1"/>
  <c r="A12496" i="1"/>
  <c r="A12495" i="1"/>
  <c r="A12494" i="1"/>
  <c r="A12493" i="1"/>
  <c r="A12492" i="1"/>
  <c r="A12491" i="1"/>
  <c r="A12490" i="1"/>
  <c r="A12489" i="1"/>
  <c r="A12488" i="1"/>
  <c r="A12487" i="1"/>
  <c r="A12486" i="1"/>
  <c r="A12485" i="1"/>
  <c r="A12484" i="1"/>
  <c r="A12483" i="1"/>
  <c r="A12482" i="1"/>
  <c r="A12481" i="1"/>
  <c r="A12480" i="1"/>
  <c r="A12479" i="1"/>
  <c r="A12478" i="1"/>
  <c r="A12477" i="1"/>
  <c r="A12476" i="1"/>
  <c r="A12475" i="1"/>
  <c r="A12474" i="1"/>
  <c r="A12473" i="1"/>
  <c r="A12472" i="1"/>
  <c r="A12471" i="1"/>
  <c r="A12470" i="1"/>
  <c r="A12469" i="1"/>
  <c r="A12468" i="1"/>
  <c r="A12467" i="1"/>
  <c r="A12466" i="1"/>
  <c r="A12465" i="1"/>
  <c r="A12464" i="1"/>
  <c r="A12463" i="1"/>
  <c r="A12462" i="1"/>
  <c r="A12461" i="1"/>
  <c r="A12460" i="1"/>
  <c r="A12459" i="1"/>
  <c r="A12458" i="1"/>
  <c r="A12457" i="1"/>
  <c r="A12456" i="1"/>
  <c r="A12455" i="1"/>
  <c r="A12454" i="1"/>
  <c r="A12453" i="1"/>
  <c r="A12452" i="1"/>
  <c r="A12451" i="1"/>
  <c r="A12450" i="1"/>
  <c r="A12449" i="1"/>
  <c r="A12448" i="1"/>
  <c r="A12447" i="1"/>
  <c r="A12446" i="1"/>
  <c r="A12445" i="1"/>
  <c r="A12444" i="1"/>
  <c r="A12443" i="1"/>
  <c r="A12442" i="1"/>
  <c r="A12441" i="1"/>
  <c r="A12440" i="1"/>
  <c r="A12439" i="1"/>
  <c r="A12438" i="1"/>
  <c r="A12437" i="1"/>
  <c r="A12436" i="1"/>
  <c r="A12435" i="1"/>
  <c r="A12434" i="1"/>
  <c r="A12433" i="1"/>
  <c r="A12432" i="1"/>
  <c r="A12431" i="1"/>
  <c r="A12430" i="1"/>
  <c r="A12429" i="1"/>
  <c r="A12428" i="1"/>
  <c r="A12427" i="1"/>
  <c r="A12426" i="1"/>
  <c r="A12425" i="1"/>
  <c r="A12424" i="1"/>
  <c r="A12423" i="1"/>
  <c r="A12422" i="1"/>
  <c r="A12421" i="1"/>
  <c r="A12420" i="1"/>
  <c r="A12419" i="1"/>
  <c r="A12418" i="1"/>
  <c r="A12417" i="1"/>
  <c r="A12416" i="1"/>
  <c r="A12415" i="1"/>
  <c r="A12414" i="1"/>
  <c r="A12413" i="1"/>
  <c r="A12412" i="1"/>
  <c r="A12411" i="1"/>
  <c r="A12410" i="1"/>
  <c r="A12409" i="1"/>
  <c r="A12408" i="1"/>
  <c r="A12407" i="1"/>
  <c r="A12406" i="1"/>
  <c r="A12405" i="1"/>
  <c r="A12404" i="1"/>
  <c r="A12403" i="1"/>
  <c r="A12402" i="1"/>
  <c r="A12401" i="1"/>
  <c r="A12400" i="1"/>
  <c r="A12399" i="1"/>
  <c r="A12398" i="1"/>
  <c r="A12397" i="1"/>
  <c r="A12396" i="1"/>
  <c r="A12395" i="1"/>
  <c r="A12394" i="1"/>
  <c r="A12393" i="1"/>
  <c r="A12392" i="1"/>
  <c r="A12391" i="1"/>
  <c r="A12390" i="1"/>
  <c r="A12389" i="1"/>
  <c r="A12388" i="1"/>
  <c r="A12387" i="1"/>
  <c r="A12386" i="1"/>
  <c r="A12385" i="1"/>
  <c r="A12384" i="1"/>
  <c r="A12383" i="1"/>
  <c r="A12382" i="1"/>
  <c r="A12381" i="1"/>
  <c r="A12380" i="1"/>
  <c r="A12379" i="1"/>
  <c r="A12378" i="1"/>
  <c r="A12377" i="1"/>
  <c r="A12376" i="1"/>
  <c r="A12375" i="1"/>
  <c r="A12374" i="1"/>
  <c r="A12373" i="1"/>
  <c r="A12372" i="1"/>
  <c r="A12371" i="1"/>
  <c r="A12370" i="1"/>
  <c r="A12369" i="1"/>
  <c r="A12368" i="1"/>
  <c r="A12367" i="1"/>
  <c r="A12366" i="1"/>
  <c r="A12365" i="1"/>
  <c r="A12364" i="1"/>
  <c r="A12363" i="1"/>
  <c r="A12362" i="1"/>
  <c r="A12361" i="1"/>
  <c r="A12360" i="1"/>
  <c r="A12359" i="1"/>
  <c r="A12358" i="1"/>
  <c r="A12357" i="1"/>
  <c r="A12356" i="1"/>
  <c r="A12355" i="1"/>
  <c r="A12354" i="1"/>
  <c r="A12353" i="1"/>
  <c r="A12352" i="1"/>
  <c r="A12351" i="1"/>
  <c r="A12350" i="1"/>
  <c r="A12349" i="1"/>
  <c r="A12348" i="1"/>
  <c r="A12347" i="1"/>
  <c r="A12346" i="1"/>
  <c r="A12345" i="1"/>
  <c r="A12344" i="1"/>
  <c r="A12343" i="1"/>
  <c r="A12342" i="1"/>
  <c r="A12341" i="1"/>
  <c r="A12340" i="1"/>
  <c r="A12339" i="1"/>
  <c r="A12338" i="1"/>
  <c r="A12337" i="1"/>
  <c r="A12336" i="1"/>
  <c r="A12335" i="1"/>
  <c r="A12334" i="1"/>
  <c r="A12333" i="1"/>
  <c r="A12332" i="1"/>
  <c r="A12331" i="1"/>
  <c r="A12330" i="1"/>
  <c r="A12329" i="1"/>
  <c r="A12328" i="1"/>
  <c r="A12327" i="1"/>
  <c r="A12326" i="1"/>
  <c r="A12325" i="1"/>
  <c r="A12324" i="1"/>
  <c r="A12323" i="1"/>
  <c r="A12322" i="1"/>
  <c r="A12321" i="1"/>
  <c r="A12320" i="1"/>
  <c r="A12319" i="1"/>
  <c r="A12318" i="1"/>
  <c r="A12317" i="1"/>
  <c r="A12316" i="1"/>
  <c r="A12315" i="1"/>
  <c r="A12314" i="1"/>
  <c r="A12313" i="1"/>
  <c r="A12312" i="1"/>
  <c r="A12311" i="1"/>
  <c r="A12310" i="1"/>
  <c r="A12309" i="1"/>
  <c r="A12308" i="1"/>
  <c r="A12307" i="1"/>
  <c r="A12306" i="1"/>
  <c r="A12305" i="1"/>
  <c r="A12304" i="1"/>
  <c r="A12303" i="1"/>
  <c r="A12302" i="1"/>
  <c r="A12301" i="1"/>
  <c r="A12300" i="1"/>
  <c r="A12299" i="1"/>
  <c r="A12298" i="1"/>
  <c r="A12297" i="1"/>
  <c r="A12296" i="1"/>
  <c r="A12295" i="1"/>
  <c r="A12294" i="1"/>
  <c r="A12293" i="1"/>
  <c r="A12292" i="1"/>
  <c r="A12291" i="1"/>
  <c r="A12290" i="1"/>
  <c r="A12289" i="1"/>
  <c r="A12288" i="1"/>
  <c r="A12287" i="1"/>
  <c r="A12286" i="1"/>
  <c r="A12285" i="1"/>
  <c r="A12284" i="1"/>
  <c r="A12283" i="1"/>
  <c r="A12282" i="1"/>
  <c r="A12281" i="1"/>
  <c r="A12280" i="1"/>
  <c r="A12279" i="1"/>
  <c r="A12278" i="1"/>
  <c r="A12277" i="1"/>
  <c r="A12276" i="1"/>
  <c r="A12275" i="1"/>
  <c r="A12274" i="1"/>
  <c r="A12273" i="1"/>
  <c r="A12272" i="1"/>
  <c r="A12271" i="1"/>
  <c r="A12270" i="1"/>
  <c r="A12269" i="1"/>
  <c r="A12268" i="1"/>
  <c r="A12267" i="1"/>
  <c r="A12266" i="1"/>
  <c r="A12265" i="1"/>
  <c r="A12264" i="1"/>
  <c r="A12263" i="1"/>
  <c r="A12262" i="1"/>
  <c r="A12261" i="1"/>
  <c r="A12260" i="1"/>
  <c r="A12259" i="1"/>
  <c r="A12258" i="1"/>
  <c r="A12257" i="1"/>
  <c r="A12256" i="1"/>
  <c r="A12255" i="1"/>
  <c r="A12254" i="1"/>
  <c r="A12253" i="1"/>
  <c r="A12252" i="1"/>
  <c r="A12251" i="1"/>
  <c r="A12250" i="1"/>
  <c r="A12249" i="1"/>
  <c r="A12248" i="1"/>
  <c r="A12247" i="1"/>
  <c r="A12246" i="1"/>
  <c r="A12245" i="1"/>
  <c r="A12244" i="1"/>
  <c r="A12243" i="1"/>
  <c r="A12242" i="1"/>
  <c r="A12241" i="1"/>
  <c r="A12240" i="1"/>
  <c r="A12239" i="1"/>
  <c r="A12238" i="1"/>
  <c r="A12237" i="1"/>
  <c r="A12236" i="1"/>
  <c r="A12235" i="1"/>
  <c r="A12234" i="1"/>
  <c r="A12233" i="1"/>
  <c r="A12232" i="1"/>
  <c r="A12231" i="1"/>
  <c r="A12230" i="1"/>
  <c r="A12229" i="1"/>
  <c r="A12228" i="1"/>
  <c r="A12227" i="1"/>
  <c r="A12226" i="1"/>
  <c r="A12225" i="1"/>
  <c r="A12224" i="1"/>
  <c r="A12223" i="1"/>
  <c r="A12222" i="1"/>
  <c r="A12221" i="1"/>
  <c r="A12220" i="1"/>
  <c r="A12219" i="1"/>
  <c r="A12218" i="1"/>
  <c r="A12217" i="1"/>
  <c r="A12216" i="1"/>
  <c r="A12215" i="1"/>
  <c r="A12214" i="1"/>
  <c r="A12213" i="1"/>
  <c r="A12212" i="1"/>
  <c r="A12211" i="1"/>
  <c r="A12210" i="1"/>
  <c r="A12209" i="1"/>
  <c r="A12208" i="1"/>
  <c r="A12207" i="1"/>
  <c r="A12206" i="1"/>
  <c r="A12205" i="1"/>
  <c r="A12204" i="1"/>
  <c r="A12203" i="1"/>
  <c r="A12202" i="1"/>
  <c r="A12201" i="1"/>
  <c r="A12200" i="1"/>
  <c r="A12199" i="1"/>
  <c r="A12198" i="1"/>
  <c r="A12197" i="1"/>
  <c r="A12196" i="1"/>
  <c r="A12195" i="1"/>
  <c r="A12194" i="1"/>
  <c r="A12193" i="1"/>
  <c r="A12192" i="1"/>
  <c r="A12191" i="1"/>
  <c r="A12190" i="1"/>
  <c r="A12189" i="1"/>
  <c r="A12188" i="1"/>
  <c r="A12187" i="1"/>
  <c r="A12186" i="1"/>
  <c r="A12185" i="1"/>
  <c r="A12184" i="1"/>
  <c r="A12183" i="1"/>
  <c r="A12182" i="1"/>
  <c r="A12181" i="1"/>
  <c r="A12180" i="1"/>
  <c r="A12179" i="1"/>
  <c r="A12178" i="1"/>
  <c r="A12177" i="1"/>
  <c r="A12176" i="1"/>
  <c r="A12175" i="1"/>
  <c r="A12174" i="1"/>
  <c r="A12173" i="1"/>
  <c r="A12172" i="1"/>
  <c r="A12171" i="1"/>
  <c r="A12170" i="1"/>
  <c r="A12169" i="1"/>
  <c r="A12168" i="1"/>
  <c r="A12167" i="1"/>
  <c r="A12166" i="1"/>
  <c r="A12165" i="1"/>
  <c r="A12164" i="1"/>
  <c r="A12163" i="1"/>
  <c r="A12162" i="1"/>
  <c r="A12161" i="1"/>
  <c r="A12160" i="1"/>
  <c r="A12159" i="1"/>
  <c r="A12158" i="1"/>
  <c r="A12157" i="1"/>
  <c r="A12156" i="1"/>
  <c r="A12155" i="1"/>
  <c r="A12154" i="1"/>
  <c r="A12153" i="1"/>
  <c r="A12152" i="1"/>
  <c r="A12151" i="1"/>
  <c r="A12150" i="1"/>
  <c r="A12149" i="1"/>
  <c r="A12148" i="1"/>
  <c r="A12147" i="1"/>
  <c r="A12146" i="1"/>
  <c r="A12145" i="1"/>
  <c r="A12144" i="1"/>
  <c r="A12143" i="1"/>
  <c r="A12142" i="1"/>
  <c r="A12141" i="1"/>
  <c r="A12140" i="1"/>
  <c r="A12139" i="1"/>
  <c r="A12138" i="1"/>
  <c r="A12137" i="1"/>
  <c r="A12136" i="1"/>
  <c r="A12135" i="1"/>
  <c r="A12134" i="1"/>
  <c r="A12133" i="1"/>
  <c r="A12132" i="1"/>
  <c r="A12131" i="1"/>
  <c r="A12130" i="1"/>
  <c r="A12129" i="1"/>
  <c r="A12128" i="1"/>
  <c r="A12127" i="1"/>
  <c r="A12126" i="1"/>
  <c r="A12125" i="1"/>
  <c r="A12124" i="1"/>
  <c r="A12123" i="1"/>
  <c r="A12122" i="1"/>
  <c r="A12121" i="1"/>
  <c r="A12120" i="1"/>
  <c r="A12119" i="1"/>
  <c r="A12118" i="1"/>
  <c r="A12117" i="1"/>
  <c r="A12116" i="1"/>
  <c r="A12115" i="1"/>
  <c r="A12114" i="1"/>
  <c r="A12113" i="1"/>
  <c r="A12112" i="1"/>
  <c r="A12111" i="1"/>
  <c r="A12110" i="1"/>
  <c r="A12109" i="1"/>
  <c r="A12108" i="1"/>
  <c r="A12107" i="1"/>
  <c r="A12106" i="1"/>
  <c r="A12105" i="1"/>
  <c r="A12104" i="1"/>
  <c r="A12103" i="1"/>
  <c r="A12102" i="1"/>
  <c r="A12101" i="1"/>
  <c r="A12100" i="1"/>
  <c r="A12099" i="1"/>
  <c r="A12098" i="1"/>
  <c r="A12097" i="1"/>
  <c r="A12096" i="1"/>
  <c r="A12095" i="1"/>
  <c r="A12094" i="1"/>
  <c r="A12093" i="1"/>
  <c r="A12092" i="1"/>
  <c r="A12091" i="1"/>
  <c r="A12090" i="1"/>
  <c r="A12089" i="1"/>
  <c r="A12088" i="1"/>
  <c r="A12087" i="1"/>
  <c r="A12086" i="1"/>
  <c r="A12085" i="1"/>
  <c r="A12084" i="1"/>
  <c r="A12083" i="1"/>
  <c r="A12082" i="1"/>
  <c r="A12081" i="1"/>
  <c r="A12080" i="1"/>
  <c r="A12079" i="1"/>
  <c r="A12078" i="1"/>
  <c r="A12077" i="1"/>
  <c r="A12076" i="1"/>
  <c r="A12075" i="1"/>
  <c r="A12074" i="1"/>
  <c r="A12073" i="1"/>
  <c r="A12072" i="1"/>
  <c r="A12071" i="1"/>
  <c r="A12070" i="1"/>
  <c r="A12069" i="1"/>
  <c r="A12068" i="1"/>
  <c r="A12067" i="1"/>
  <c r="A12066" i="1"/>
  <c r="A12065" i="1"/>
  <c r="A12064" i="1"/>
  <c r="A12063" i="1"/>
  <c r="A12062" i="1"/>
  <c r="A12061" i="1"/>
  <c r="A12060" i="1"/>
  <c r="A12059" i="1"/>
  <c r="A12058" i="1"/>
  <c r="A12057" i="1"/>
  <c r="A12056" i="1"/>
  <c r="A12055" i="1"/>
  <c r="A12054" i="1"/>
  <c r="A12053" i="1"/>
  <c r="A12052" i="1"/>
  <c r="A12051" i="1"/>
  <c r="A12050" i="1"/>
  <c r="A12049" i="1"/>
  <c r="A12048" i="1"/>
  <c r="A12047" i="1"/>
  <c r="A12046" i="1"/>
  <c r="A12045" i="1"/>
  <c r="A12044" i="1"/>
  <c r="A12043" i="1"/>
  <c r="A12042" i="1"/>
  <c r="A12041" i="1"/>
  <c r="A12040" i="1"/>
  <c r="A12039" i="1"/>
  <c r="A12038" i="1"/>
  <c r="A12037" i="1"/>
  <c r="A12036" i="1"/>
  <c r="A12035" i="1"/>
  <c r="A12034" i="1"/>
  <c r="A12033" i="1"/>
  <c r="A12032" i="1"/>
  <c r="A12031" i="1"/>
  <c r="A12030" i="1"/>
  <c r="A12029" i="1"/>
  <c r="A12028" i="1"/>
  <c r="A12027" i="1"/>
  <c r="A12026" i="1"/>
  <c r="A12025" i="1"/>
  <c r="A12024" i="1"/>
  <c r="A12023" i="1"/>
  <c r="A12022" i="1"/>
  <c r="A12021" i="1"/>
  <c r="A12020" i="1"/>
  <c r="A12019" i="1"/>
  <c r="A12018" i="1"/>
  <c r="A12017" i="1"/>
  <c r="A12016" i="1"/>
  <c r="A12015" i="1"/>
  <c r="A12014" i="1"/>
  <c r="A12013" i="1"/>
  <c r="A12012" i="1"/>
  <c r="A12011" i="1"/>
  <c r="A12010" i="1"/>
  <c r="A12009" i="1"/>
  <c r="A12008" i="1"/>
  <c r="A12007" i="1"/>
  <c r="A12006" i="1"/>
  <c r="A12005" i="1"/>
  <c r="A12004" i="1"/>
  <c r="A12003" i="1"/>
  <c r="A12002" i="1"/>
  <c r="A12001" i="1"/>
  <c r="A12000" i="1"/>
  <c r="A11999" i="1"/>
  <c r="A11998" i="1"/>
  <c r="A11997" i="1"/>
  <c r="A11996" i="1"/>
  <c r="A11995" i="1"/>
  <c r="A11994" i="1"/>
  <c r="A11993" i="1"/>
  <c r="A11992" i="1"/>
  <c r="A11991" i="1"/>
  <c r="A11990" i="1"/>
  <c r="A11989" i="1"/>
  <c r="A11988" i="1"/>
  <c r="A11987" i="1"/>
  <c r="A11986" i="1"/>
  <c r="A11985" i="1"/>
  <c r="A11984" i="1"/>
  <c r="A11983" i="1"/>
  <c r="A11982" i="1"/>
  <c r="A11981" i="1"/>
  <c r="A11980" i="1"/>
  <c r="A11979" i="1"/>
  <c r="A11978" i="1"/>
  <c r="A11977" i="1"/>
  <c r="A11976" i="1"/>
  <c r="A11975" i="1"/>
  <c r="A11974" i="1"/>
  <c r="A11973" i="1"/>
  <c r="A11972" i="1"/>
  <c r="A11971" i="1"/>
  <c r="A11970" i="1"/>
  <c r="A11969" i="1"/>
  <c r="A11968" i="1"/>
  <c r="A11967" i="1"/>
  <c r="A11966" i="1"/>
  <c r="A11965" i="1"/>
  <c r="A11964" i="1"/>
  <c r="A11963" i="1"/>
  <c r="A11962" i="1"/>
  <c r="A11961" i="1"/>
  <c r="A11960" i="1"/>
  <c r="A11959" i="1"/>
  <c r="A11958" i="1"/>
  <c r="A11957" i="1"/>
  <c r="A11956" i="1"/>
  <c r="A11955" i="1"/>
  <c r="A11954" i="1"/>
  <c r="A11953" i="1"/>
  <c r="A11952" i="1"/>
  <c r="A11951" i="1"/>
  <c r="A11950" i="1"/>
  <c r="A11949" i="1"/>
  <c r="A11948" i="1"/>
  <c r="A11947" i="1"/>
  <c r="A11946" i="1"/>
  <c r="A11945" i="1"/>
  <c r="A11944" i="1"/>
  <c r="A11943" i="1"/>
  <c r="A11942" i="1"/>
  <c r="A11941" i="1"/>
  <c r="A11940" i="1"/>
  <c r="A11939" i="1"/>
  <c r="A11938" i="1"/>
  <c r="A11937" i="1"/>
  <c r="A11936" i="1"/>
  <c r="A11935" i="1"/>
  <c r="A11934" i="1"/>
  <c r="A11933" i="1"/>
  <c r="A11932" i="1"/>
  <c r="A11931" i="1"/>
  <c r="A11930" i="1"/>
  <c r="A11929" i="1"/>
  <c r="A11928" i="1"/>
  <c r="A11927" i="1"/>
  <c r="A11926" i="1"/>
  <c r="A11925" i="1"/>
  <c r="A11924" i="1"/>
  <c r="A11923" i="1"/>
  <c r="A11922" i="1"/>
  <c r="A11921" i="1"/>
  <c r="A11920" i="1"/>
  <c r="A11919" i="1"/>
  <c r="A11918" i="1"/>
  <c r="A11917" i="1"/>
  <c r="A11916" i="1"/>
  <c r="A11915" i="1"/>
  <c r="A11914" i="1"/>
  <c r="A11913" i="1"/>
  <c r="A11912" i="1"/>
  <c r="A11911" i="1"/>
  <c r="A11910" i="1"/>
  <c r="A11909" i="1"/>
  <c r="A11908" i="1"/>
  <c r="A11907" i="1"/>
  <c r="A11906" i="1"/>
  <c r="A11905" i="1"/>
  <c r="A11904" i="1"/>
  <c r="A11903" i="1"/>
  <c r="A11902" i="1"/>
  <c r="A11901" i="1"/>
  <c r="A11900" i="1"/>
  <c r="A11899" i="1"/>
  <c r="A11898" i="1"/>
  <c r="A11897" i="1"/>
  <c r="A11896" i="1"/>
  <c r="A11895" i="1"/>
  <c r="A11894" i="1"/>
  <c r="A11893" i="1"/>
  <c r="A11892" i="1"/>
  <c r="A11891" i="1"/>
  <c r="A11890" i="1"/>
  <c r="A11889" i="1"/>
  <c r="A11888" i="1"/>
  <c r="A11887" i="1"/>
  <c r="A11886" i="1"/>
  <c r="A11885" i="1"/>
  <c r="A11884" i="1"/>
  <c r="A11883" i="1"/>
  <c r="A11882" i="1"/>
  <c r="A11881" i="1"/>
  <c r="A11880" i="1"/>
  <c r="A11879" i="1"/>
  <c r="A11878" i="1"/>
  <c r="A11877" i="1"/>
  <c r="A11876" i="1"/>
  <c r="A11875" i="1"/>
  <c r="A11874" i="1"/>
  <c r="A11873" i="1"/>
  <c r="A11872" i="1"/>
  <c r="A11871" i="1"/>
  <c r="A11870" i="1"/>
  <c r="A11869" i="1"/>
  <c r="A11868" i="1"/>
  <c r="A11867" i="1"/>
  <c r="A11866" i="1"/>
  <c r="A11865" i="1"/>
  <c r="A11864" i="1"/>
  <c r="A11863" i="1"/>
  <c r="A11862" i="1"/>
  <c r="A11861" i="1"/>
  <c r="A11860" i="1"/>
  <c r="A11859" i="1"/>
  <c r="A11858" i="1"/>
  <c r="A11857" i="1"/>
  <c r="A11856" i="1"/>
  <c r="A11855" i="1"/>
  <c r="A11854" i="1"/>
  <c r="A11853" i="1"/>
  <c r="A11852" i="1"/>
  <c r="A11851" i="1"/>
  <c r="A11850" i="1"/>
  <c r="A11849" i="1"/>
  <c r="A11848" i="1"/>
  <c r="A11847" i="1"/>
  <c r="A11846" i="1"/>
  <c r="A11845" i="1"/>
  <c r="A11844" i="1"/>
  <c r="A11843" i="1"/>
  <c r="A11842" i="1"/>
  <c r="A11841" i="1"/>
  <c r="A11840" i="1"/>
  <c r="A11839" i="1"/>
  <c r="A11838" i="1"/>
  <c r="A11837" i="1"/>
  <c r="A11836" i="1"/>
  <c r="A11835" i="1"/>
  <c r="A11834" i="1"/>
  <c r="A11833" i="1"/>
  <c r="A11832" i="1"/>
  <c r="A11831" i="1"/>
  <c r="A11830" i="1"/>
  <c r="A11829" i="1"/>
  <c r="A11828" i="1"/>
  <c r="A11827" i="1"/>
  <c r="A11826" i="1"/>
  <c r="A11825" i="1"/>
  <c r="A11824" i="1"/>
  <c r="A11823" i="1"/>
  <c r="A11822" i="1"/>
  <c r="A11821" i="1"/>
  <c r="A11820" i="1"/>
  <c r="A11819" i="1"/>
  <c r="A11818" i="1"/>
  <c r="A11817" i="1"/>
  <c r="A11816" i="1"/>
  <c r="A11815" i="1"/>
  <c r="A11814" i="1"/>
  <c r="A11813" i="1"/>
  <c r="A11812" i="1"/>
  <c r="A11811" i="1"/>
  <c r="A11810" i="1"/>
  <c r="A11809" i="1"/>
  <c r="A11808" i="1"/>
  <c r="A11807" i="1"/>
  <c r="A11806" i="1"/>
  <c r="A11805" i="1"/>
  <c r="A11804" i="1"/>
  <c r="A11803" i="1"/>
  <c r="A11802" i="1"/>
  <c r="A11801" i="1"/>
  <c r="A11800" i="1"/>
  <c r="A11799" i="1"/>
  <c r="A11798" i="1"/>
  <c r="A11797" i="1"/>
  <c r="A11796" i="1"/>
  <c r="A11795" i="1"/>
  <c r="A11794" i="1"/>
  <c r="A11793" i="1"/>
  <c r="A11792" i="1"/>
  <c r="A11791" i="1"/>
  <c r="A11790" i="1"/>
  <c r="A11789" i="1"/>
  <c r="A11788" i="1"/>
  <c r="A11787" i="1"/>
  <c r="A11786" i="1"/>
  <c r="A11785" i="1"/>
  <c r="A11784" i="1"/>
  <c r="A11783" i="1"/>
  <c r="A11782" i="1"/>
  <c r="A11781" i="1"/>
  <c r="A11780" i="1"/>
  <c r="A11779" i="1"/>
  <c r="A11778" i="1"/>
  <c r="A11777" i="1"/>
  <c r="A11776" i="1"/>
  <c r="A11775" i="1"/>
  <c r="A11774" i="1"/>
  <c r="A11773" i="1"/>
  <c r="A11772" i="1"/>
  <c r="A11771" i="1"/>
  <c r="A11770" i="1"/>
  <c r="A11769" i="1"/>
  <c r="A11768" i="1"/>
  <c r="A11767" i="1"/>
  <c r="A11766" i="1"/>
  <c r="A11765" i="1"/>
  <c r="A11764" i="1"/>
  <c r="A11763" i="1"/>
  <c r="A11762" i="1"/>
  <c r="A11761" i="1"/>
  <c r="A11760" i="1"/>
  <c r="A11759" i="1"/>
  <c r="A11758" i="1"/>
  <c r="A11757" i="1"/>
  <c r="A11756" i="1"/>
  <c r="A11755" i="1"/>
  <c r="A11754" i="1"/>
  <c r="A11753" i="1"/>
  <c r="A11752" i="1"/>
  <c r="A11751" i="1"/>
  <c r="A11750" i="1"/>
  <c r="A11749" i="1"/>
  <c r="A11748" i="1"/>
  <c r="A11747" i="1"/>
  <c r="A11746" i="1"/>
  <c r="A11745" i="1"/>
  <c r="A11744" i="1"/>
  <c r="A11743" i="1"/>
  <c r="A11742" i="1"/>
  <c r="A11741" i="1"/>
  <c r="A11740" i="1"/>
  <c r="A11739" i="1"/>
  <c r="A11738" i="1"/>
  <c r="A11737" i="1"/>
  <c r="A11736" i="1"/>
  <c r="A11735" i="1"/>
  <c r="A11734" i="1"/>
  <c r="A11733" i="1"/>
  <c r="A11732" i="1"/>
  <c r="A11731" i="1"/>
  <c r="A11730" i="1"/>
  <c r="A11729" i="1"/>
  <c r="A11728" i="1"/>
  <c r="A11727" i="1"/>
  <c r="A11726" i="1"/>
  <c r="A11725" i="1"/>
  <c r="A11724" i="1"/>
  <c r="A11723" i="1"/>
  <c r="A11722" i="1"/>
  <c r="A11721" i="1"/>
  <c r="A11720" i="1"/>
  <c r="A11719" i="1"/>
  <c r="A11718" i="1"/>
  <c r="A11717" i="1"/>
  <c r="A11716" i="1"/>
  <c r="A11715" i="1"/>
  <c r="A11714" i="1"/>
  <c r="A11713" i="1"/>
  <c r="A11712" i="1"/>
  <c r="A11711" i="1"/>
  <c r="A11710" i="1"/>
  <c r="A11709" i="1"/>
  <c r="A11708" i="1"/>
  <c r="A11707" i="1"/>
  <c r="A11706" i="1"/>
  <c r="A11705" i="1"/>
  <c r="A11704" i="1"/>
  <c r="A11703" i="1"/>
  <c r="A11702" i="1"/>
  <c r="A11701" i="1"/>
  <c r="A11700" i="1"/>
  <c r="A11699" i="1"/>
  <c r="A11698" i="1"/>
  <c r="A11697" i="1"/>
  <c r="A11696" i="1"/>
  <c r="A11695" i="1"/>
  <c r="A11694" i="1"/>
  <c r="A11693" i="1"/>
  <c r="A11692" i="1"/>
  <c r="A11691" i="1"/>
  <c r="A11690" i="1"/>
  <c r="A11689" i="1"/>
  <c r="A11688" i="1"/>
  <c r="A11687" i="1"/>
  <c r="A11686" i="1"/>
  <c r="A11685" i="1"/>
  <c r="A11684" i="1"/>
  <c r="A11683" i="1"/>
  <c r="A11682" i="1"/>
  <c r="A11681" i="1"/>
  <c r="A11680" i="1"/>
  <c r="A11679" i="1"/>
  <c r="A11678" i="1"/>
  <c r="A11677" i="1"/>
  <c r="A11676" i="1"/>
  <c r="A11675" i="1"/>
  <c r="A11674" i="1"/>
  <c r="A11673" i="1"/>
  <c r="A11672" i="1"/>
  <c r="A11671" i="1"/>
  <c r="A11670" i="1"/>
  <c r="A11669" i="1"/>
  <c r="A11668" i="1"/>
  <c r="A11667" i="1"/>
  <c r="A11666" i="1"/>
  <c r="A11665" i="1"/>
  <c r="A11664" i="1"/>
  <c r="A11663" i="1"/>
  <c r="A11662" i="1"/>
  <c r="A11661" i="1"/>
  <c r="A11660" i="1"/>
  <c r="A11659" i="1"/>
  <c r="A11658" i="1"/>
  <c r="A11657" i="1"/>
  <c r="A11656" i="1"/>
  <c r="A11655" i="1"/>
  <c r="A11654" i="1"/>
  <c r="A11653" i="1"/>
  <c r="A11652" i="1"/>
  <c r="A11651" i="1"/>
  <c r="A11650" i="1"/>
  <c r="A11649" i="1"/>
  <c r="A11648" i="1"/>
  <c r="A11647" i="1"/>
  <c r="A11646" i="1"/>
  <c r="A11645" i="1"/>
  <c r="A11644" i="1"/>
  <c r="A11643" i="1"/>
  <c r="A11642" i="1"/>
  <c r="A11641" i="1"/>
  <c r="A11640" i="1"/>
  <c r="A11639" i="1"/>
  <c r="A11638" i="1"/>
  <c r="A11637" i="1"/>
  <c r="A11636" i="1"/>
  <c r="A11635" i="1"/>
  <c r="A11634" i="1"/>
  <c r="A11633" i="1"/>
  <c r="A11632" i="1"/>
  <c r="A11631" i="1"/>
  <c r="A11630" i="1"/>
  <c r="A11629" i="1"/>
  <c r="A11628" i="1"/>
  <c r="A11627" i="1"/>
  <c r="A11626" i="1"/>
  <c r="A11625" i="1"/>
  <c r="A11624" i="1"/>
  <c r="A11623" i="1"/>
  <c r="A11622" i="1"/>
  <c r="A11621" i="1"/>
  <c r="A11620" i="1"/>
  <c r="A11619" i="1"/>
  <c r="A11618" i="1"/>
  <c r="A11617" i="1"/>
  <c r="A11616" i="1"/>
  <c r="A11615" i="1"/>
  <c r="A11614" i="1"/>
  <c r="A11613" i="1"/>
  <c r="A11612" i="1"/>
  <c r="A11611" i="1"/>
  <c r="A11610" i="1"/>
  <c r="A11609" i="1"/>
  <c r="A11608" i="1"/>
  <c r="A11607" i="1"/>
  <c r="A11606" i="1"/>
  <c r="A11605" i="1"/>
  <c r="A11604" i="1"/>
  <c r="A11603" i="1"/>
  <c r="A11602" i="1"/>
  <c r="A11601" i="1"/>
  <c r="A11600" i="1"/>
  <c r="A11599" i="1"/>
  <c r="A11598" i="1"/>
  <c r="A11597" i="1"/>
  <c r="A11596" i="1"/>
  <c r="A11595" i="1"/>
  <c r="A11594" i="1"/>
  <c r="A11593" i="1"/>
  <c r="A11592" i="1"/>
  <c r="A11591" i="1"/>
  <c r="A11590" i="1"/>
  <c r="A11589" i="1"/>
  <c r="A11588" i="1"/>
  <c r="A11587" i="1"/>
  <c r="A11586" i="1"/>
  <c r="A11585" i="1"/>
  <c r="A11584" i="1"/>
  <c r="A11583" i="1"/>
  <c r="A11582" i="1"/>
  <c r="A11581" i="1"/>
  <c r="A11580" i="1"/>
  <c r="A11579" i="1"/>
  <c r="A11578" i="1"/>
  <c r="A11577" i="1"/>
  <c r="A11576" i="1"/>
  <c r="A11575" i="1"/>
  <c r="A11574" i="1"/>
  <c r="A11573" i="1"/>
  <c r="A11572" i="1"/>
  <c r="A11571" i="1"/>
  <c r="A11570" i="1"/>
  <c r="A11569" i="1"/>
  <c r="A11568" i="1"/>
  <c r="A11567" i="1"/>
  <c r="A11566" i="1"/>
  <c r="A11565" i="1"/>
  <c r="A11564" i="1"/>
  <c r="A11563" i="1"/>
  <c r="A11562" i="1"/>
  <c r="A11561" i="1"/>
  <c r="A11560" i="1"/>
  <c r="A11559" i="1"/>
  <c r="A11558" i="1"/>
  <c r="A11557" i="1"/>
  <c r="A11556" i="1"/>
  <c r="A11555" i="1"/>
  <c r="A11554" i="1"/>
  <c r="A11553" i="1"/>
  <c r="A11552" i="1"/>
  <c r="A11551" i="1"/>
  <c r="A11550" i="1"/>
  <c r="A11549" i="1"/>
  <c r="A11548" i="1"/>
  <c r="A11547" i="1"/>
  <c r="A11546" i="1"/>
  <c r="A11545" i="1"/>
  <c r="A11544" i="1"/>
  <c r="A11543" i="1"/>
  <c r="A11542" i="1"/>
  <c r="A11541" i="1"/>
  <c r="A11540" i="1"/>
  <c r="A11539" i="1"/>
  <c r="A11538" i="1"/>
  <c r="A11537" i="1"/>
  <c r="A11536" i="1"/>
  <c r="A11535" i="1"/>
  <c r="A11534" i="1"/>
  <c r="A11533" i="1"/>
  <c r="A11532" i="1"/>
  <c r="A11531" i="1"/>
  <c r="A11530" i="1"/>
  <c r="A11529" i="1"/>
  <c r="A11528" i="1"/>
  <c r="A11527" i="1"/>
  <c r="A11526" i="1"/>
  <c r="A11525" i="1"/>
  <c r="A11524" i="1"/>
  <c r="A11523" i="1"/>
  <c r="A11522" i="1"/>
  <c r="A11521" i="1"/>
  <c r="A11520" i="1"/>
  <c r="A11519" i="1"/>
  <c r="A11518" i="1"/>
  <c r="A11517" i="1"/>
  <c r="A11516" i="1"/>
  <c r="A11515" i="1"/>
  <c r="A11514" i="1"/>
  <c r="A11513" i="1"/>
  <c r="A11512" i="1"/>
  <c r="A11511" i="1"/>
  <c r="A11510" i="1"/>
  <c r="A11509" i="1"/>
  <c r="A11508" i="1"/>
  <c r="A11507" i="1"/>
  <c r="A11506" i="1"/>
  <c r="A11505" i="1"/>
  <c r="A11504" i="1"/>
  <c r="A11503" i="1"/>
  <c r="A11502" i="1"/>
  <c r="A11501" i="1"/>
  <c r="A11500" i="1"/>
  <c r="A11499" i="1"/>
  <c r="A11498" i="1"/>
  <c r="A11497" i="1"/>
  <c r="A11496" i="1"/>
  <c r="A11495" i="1"/>
  <c r="A11494" i="1"/>
  <c r="A11493" i="1"/>
  <c r="A11492" i="1"/>
  <c r="A11491" i="1"/>
  <c r="A11490" i="1"/>
  <c r="A11489" i="1"/>
  <c r="A11488" i="1"/>
  <c r="A11487" i="1"/>
  <c r="A11486" i="1"/>
  <c r="A11485" i="1"/>
  <c r="A11484" i="1"/>
  <c r="A11483" i="1"/>
  <c r="A11482" i="1"/>
  <c r="A11481" i="1"/>
  <c r="A11480" i="1"/>
  <c r="A11479" i="1"/>
  <c r="A11478" i="1"/>
  <c r="A11477" i="1"/>
  <c r="A11476" i="1"/>
  <c r="A11475" i="1"/>
  <c r="A11474" i="1"/>
  <c r="A11473" i="1"/>
  <c r="A11472" i="1"/>
  <c r="A11471" i="1"/>
  <c r="A11470" i="1"/>
  <c r="A11469" i="1"/>
  <c r="A11468" i="1"/>
  <c r="A11467" i="1"/>
  <c r="A11466" i="1"/>
  <c r="A11465" i="1"/>
  <c r="A11464" i="1"/>
  <c r="A11463" i="1"/>
  <c r="A11462" i="1"/>
  <c r="A11461" i="1"/>
  <c r="A11460" i="1"/>
  <c r="A11459" i="1"/>
  <c r="A11458" i="1"/>
  <c r="A11457" i="1"/>
  <c r="A11456" i="1"/>
  <c r="A11455" i="1"/>
  <c r="A11454" i="1"/>
  <c r="A11453" i="1"/>
  <c r="A11452" i="1"/>
  <c r="A11451" i="1"/>
  <c r="A11450" i="1"/>
  <c r="A11449" i="1"/>
  <c r="A11448" i="1"/>
  <c r="A11447" i="1"/>
  <c r="A11446" i="1"/>
  <c r="A11445" i="1"/>
  <c r="A11444" i="1"/>
  <c r="A11443" i="1"/>
  <c r="A11442" i="1"/>
  <c r="A11441" i="1"/>
  <c r="A11440" i="1"/>
  <c r="A11439" i="1"/>
  <c r="A11438" i="1"/>
  <c r="A11437" i="1"/>
  <c r="A11436" i="1"/>
  <c r="A11435" i="1"/>
  <c r="A11434" i="1"/>
  <c r="A11433" i="1"/>
  <c r="A11432" i="1"/>
  <c r="A11431" i="1"/>
  <c r="A11430" i="1"/>
  <c r="A11429" i="1"/>
  <c r="A11428" i="1"/>
  <c r="A11427" i="1"/>
  <c r="A11426" i="1"/>
  <c r="A11425" i="1"/>
  <c r="A11424" i="1"/>
  <c r="A11423" i="1"/>
  <c r="A11422" i="1"/>
  <c r="A11421" i="1"/>
  <c r="A11420" i="1"/>
  <c r="A11419" i="1"/>
  <c r="A11418" i="1"/>
  <c r="A11417" i="1"/>
  <c r="A11416" i="1"/>
  <c r="A11415" i="1"/>
  <c r="A11414" i="1"/>
  <c r="A11413" i="1"/>
  <c r="A11412" i="1"/>
  <c r="A11411" i="1"/>
  <c r="A11410" i="1"/>
  <c r="A11409" i="1"/>
  <c r="A11408" i="1"/>
  <c r="A11407" i="1"/>
  <c r="A11406" i="1"/>
  <c r="A11405" i="1"/>
  <c r="A11404" i="1"/>
  <c r="A11403" i="1"/>
  <c r="A11402" i="1"/>
  <c r="A11401" i="1"/>
  <c r="A11400" i="1"/>
  <c r="A11399" i="1"/>
  <c r="A11398" i="1"/>
  <c r="A11397" i="1"/>
  <c r="A11396" i="1"/>
  <c r="A11395" i="1"/>
  <c r="A11394" i="1"/>
  <c r="A11393" i="1"/>
  <c r="A11392" i="1"/>
  <c r="A11391" i="1"/>
  <c r="A11390" i="1"/>
  <c r="A11389" i="1"/>
  <c r="A11388" i="1"/>
  <c r="A11387" i="1"/>
  <c r="A11386" i="1"/>
  <c r="A11385" i="1"/>
  <c r="A11384" i="1"/>
  <c r="A11383" i="1"/>
  <c r="A11382" i="1"/>
  <c r="A11381" i="1"/>
  <c r="A11380" i="1"/>
  <c r="A11379" i="1"/>
  <c r="A11378" i="1"/>
  <c r="A11377" i="1"/>
  <c r="A11376" i="1"/>
  <c r="A11375" i="1"/>
  <c r="A11374" i="1"/>
  <c r="A11373" i="1"/>
  <c r="A11372" i="1"/>
  <c r="A11371" i="1"/>
  <c r="A11370" i="1"/>
  <c r="A11369" i="1"/>
  <c r="A11368" i="1"/>
  <c r="A11367" i="1"/>
  <c r="A11366" i="1"/>
  <c r="A11365" i="1"/>
  <c r="A11364" i="1"/>
  <c r="A11363" i="1"/>
  <c r="A11362" i="1"/>
  <c r="A11361" i="1"/>
  <c r="A11360" i="1"/>
  <c r="A11359" i="1"/>
  <c r="A11358" i="1"/>
  <c r="A11357" i="1"/>
  <c r="A11356" i="1"/>
  <c r="A11355" i="1"/>
  <c r="A11354" i="1"/>
  <c r="A11353" i="1"/>
  <c r="A11352" i="1"/>
  <c r="A11351" i="1"/>
  <c r="A11350" i="1"/>
  <c r="A11349" i="1"/>
  <c r="A11348" i="1"/>
  <c r="A11347" i="1"/>
  <c r="A11346" i="1"/>
  <c r="A11345" i="1"/>
  <c r="A11344" i="1"/>
  <c r="A11343" i="1"/>
  <c r="A11342" i="1"/>
  <c r="A11341" i="1"/>
  <c r="A11340" i="1"/>
  <c r="A11339" i="1"/>
  <c r="A11338" i="1"/>
  <c r="A11337" i="1"/>
  <c r="A11336" i="1"/>
  <c r="A11335" i="1"/>
  <c r="A11334" i="1"/>
  <c r="A11333" i="1"/>
  <c r="A11332" i="1"/>
  <c r="A11331" i="1"/>
  <c r="A11330" i="1"/>
  <c r="A11329" i="1"/>
  <c r="A11328" i="1"/>
  <c r="A11327" i="1"/>
  <c r="A11326" i="1"/>
  <c r="A11325" i="1"/>
  <c r="A11324" i="1"/>
  <c r="A11323" i="1"/>
  <c r="A11322" i="1"/>
  <c r="A11321" i="1"/>
  <c r="A11320" i="1"/>
  <c r="A11319" i="1"/>
  <c r="A11318" i="1"/>
  <c r="A11317" i="1"/>
  <c r="A11316" i="1"/>
  <c r="A11315" i="1"/>
  <c r="A11314" i="1"/>
  <c r="A11313" i="1"/>
  <c r="A11312" i="1"/>
  <c r="A11311" i="1"/>
  <c r="A11310" i="1"/>
  <c r="A11309" i="1"/>
  <c r="A11308" i="1"/>
  <c r="A11307" i="1"/>
  <c r="A11306" i="1"/>
  <c r="A11305" i="1"/>
  <c r="A11304" i="1"/>
  <c r="A11303" i="1"/>
  <c r="A11302" i="1"/>
  <c r="A11301" i="1"/>
  <c r="A11300" i="1"/>
  <c r="A11299" i="1"/>
  <c r="A11298" i="1"/>
  <c r="A11297" i="1"/>
  <c r="A11296" i="1"/>
  <c r="A11295" i="1"/>
  <c r="A11294" i="1"/>
  <c r="A11293" i="1"/>
  <c r="A11292" i="1"/>
  <c r="A11291" i="1"/>
  <c r="A11290" i="1"/>
  <c r="A11289" i="1"/>
  <c r="A11288" i="1"/>
  <c r="A11287" i="1"/>
  <c r="A11286" i="1"/>
  <c r="A11285" i="1"/>
  <c r="A11284" i="1"/>
  <c r="A11283" i="1"/>
  <c r="A11282" i="1"/>
  <c r="A11281" i="1"/>
  <c r="A11280" i="1"/>
  <c r="A11279" i="1"/>
  <c r="A11278" i="1"/>
  <c r="A11277" i="1"/>
  <c r="A11276" i="1"/>
  <c r="A11275" i="1"/>
  <c r="A11274" i="1"/>
  <c r="A11273" i="1"/>
  <c r="A11272" i="1"/>
  <c r="A11271" i="1"/>
  <c r="A11270" i="1"/>
  <c r="A11269" i="1"/>
  <c r="A11268" i="1"/>
  <c r="A11267" i="1"/>
  <c r="A11266" i="1"/>
  <c r="A11265" i="1"/>
  <c r="A11264" i="1"/>
  <c r="A11263" i="1"/>
  <c r="A11262" i="1"/>
  <c r="A11261" i="1"/>
  <c r="A11260" i="1"/>
  <c r="A11259" i="1"/>
  <c r="A11258" i="1"/>
  <c r="A11257" i="1"/>
  <c r="A11256" i="1"/>
  <c r="A11255" i="1"/>
  <c r="A11254" i="1"/>
  <c r="A11253" i="1"/>
  <c r="A11252" i="1"/>
  <c r="A11251" i="1"/>
  <c r="A11250" i="1"/>
  <c r="A11249" i="1"/>
  <c r="A11248" i="1"/>
  <c r="A11247" i="1"/>
  <c r="A11246" i="1"/>
  <c r="A11245" i="1"/>
  <c r="A11244" i="1"/>
  <c r="A11243" i="1"/>
  <c r="A11242" i="1"/>
  <c r="A11241" i="1"/>
  <c r="A11240" i="1"/>
  <c r="A11239" i="1"/>
  <c r="A11238" i="1"/>
  <c r="A11237" i="1"/>
  <c r="A11236" i="1"/>
  <c r="A11235" i="1"/>
  <c r="A11234" i="1"/>
  <c r="A11233" i="1"/>
  <c r="A11232" i="1"/>
  <c r="A11231" i="1"/>
  <c r="A11230" i="1"/>
  <c r="A11229" i="1"/>
  <c r="A11228" i="1"/>
  <c r="A11227" i="1"/>
  <c r="A11226" i="1"/>
  <c r="A11225" i="1"/>
  <c r="A11224" i="1"/>
  <c r="A11223" i="1"/>
  <c r="A11222" i="1"/>
  <c r="A11221" i="1"/>
  <c r="A11220" i="1"/>
  <c r="A11219" i="1"/>
  <c r="A11218" i="1"/>
  <c r="A11217" i="1"/>
  <c r="A11216" i="1"/>
  <c r="A11215" i="1"/>
  <c r="A11214" i="1"/>
  <c r="A11213" i="1"/>
  <c r="A11212" i="1"/>
  <c r="A11211" i="1"/>
  <c r="A11210" i="1"/>
  <c r="A11209" i="1"/>
  <c r="A11208" i="1"/>
  <c r="A11207" i="1"/>
  <c r="A11206" i="1"/>
  <c r="A11205" i="1"/>
  <c r="A11204" i="1"/>
  <c r="A11203" i="1"/>
  <c r="A11202" i="1"/>
  <c r="A11201" i="1"/>
  <c r="A11200" i="1"/>
  <c r="A11199" i="1"/>
  <c r="A11198" i="1"/>
  <c r="A11197" i="1"/>
  <c r="A11196" i="1"/>
  <c r="A11195" i="1"/>
  <c r="A11194" i="1"/>
  <c r="A11193" i="1"/>
  <c r="A11192" i="1"/>
  <c r="A11191" i="1"/>
  <c r="A11190" i="1"/>
  <c r="A11189" i="1"/>
  <c r="A11188" i="1" l="1"/>
  <c r="A11187" i="1"/>
  <c r="A11186" i="1"/>
  <c r="A11185" i="1"/>
  <c r="A11184" i="1"/>
  <c r="A11183" i="1"/>
  <c r="A11182" i="1"/>
  <c r="A11181" i="1"/>
  <c r="A11180" i="1"/>
  <c r="A11179" i="1"/>
  <c r="A11178" i="1"/>
  <c r="A11177" i="1"/>
  <c r="A11176" i="1"/>
  <c r="A11175" i="1"/>
  <c r="A11174" i="1"/>
  <c r="A11173" i="1"/>
  <c r="A11172" i="1"/>
  <c r="A11171" i="1"/>
  <c r="A11170" i="1"/>
  <c r="A11169" i="1"/>
  <c r="A11168" i="1"/>
  <c r="A11167" i="1"/>
  <c r="A11166" i="1"/>
  <c r="A11165" i="1"/>
  <c r="A11164" i="1"/>
  <c r="A11163" i="1"/>
  <c r="A11162" i="1"/>
  <c r="A11161" i="1"/>
  <c r="A11160" i="1"/>
  <c r="A11159" i="1"/>
  <c r="A11158" i="1"/>
  <c r="A11157" i="1"/>
  <c r="A11156" i="1"/>
  <c r="A11155" i="1"/>
  <c r="A11154" i="1"/>
  <c r="A11153" i="1"/>
  <c r="A11152" i="1"/>
  <c r="A11151" i="1"/>
  <c r="A11150" i="1"/>
  <c r="A11149" i="1"/>
  <c r="A11148" i="1"/>
  <c r="A11147" i="1"/>
  <c r="A11146" i="1"/>
  <c r="A11145" i="1"/>
  <c r="A11144" i="1"/>
  <c r="A11143" i="1"/>
  <c r="A11142" i="1"/>
  <c r="A11141" i="1"/>
  <c r="A11140" i="1"/>
  <c r="A11139" i="1"/>
  <c r="A11138" i="1"/>
  <c r="A11137" i="1"/>
  <c r="A11136" i="1"/>
  <c r="A11135" i="1"/>
  <c r="A11134" i="1"/>
  <c r="A11133" i="1"/>
  <c r="A11132" i="1"/>
  <c r="A11131" i="1"/>
  <c r="A11130" i="1"/>
  <c r="A11129" i="1"/>
  <c r="A11128" i="1"/>
  <c r="A11127" i="1"/>
  <c r="A11126" i="1"/>
  <c r="A11125" i="1"/>
  <c r="A11124" i="1"/>
  <c r="A11123" i="1"/>
  <c r="A11122" i="1"/>
  <c r="A11121" i="1"/>
  <c r="A11120" i="1"/>
  <c r="A11119" i="1"/>
  <c r="A11118" i="1"/>
  <c r="A11117" i="1"/>
  <c r="A11116" i="1"/>
  <c r="A11115" i="1"/>
  <c r="A11114" i="1"/>
  <c r="A11113" i="1"/>
  <c r="A11112" i="1"/>
  <c r="A11111" i="1"/>
  <c r="A11110" i="1"/>
  <c r="A11109" i="1"/>
  <c r="A11108" i="1"/>
  <c r="A11107" i="1"/>
  <c r="A11106" i="1"/>
  <c r="A11105" i="1"/>
  <c r="A11104" i="1"/>
  <c r="A11103" i="1"/>
  <c r="A11102" i="1"/>
  <c r="A11101" i="1"/>
  <c r="A11100" i="1"/>
  <c r="A11099" i="1"/>
  <c r="A11098" i="1"/>
  <c r="A11097" i="1"/>
  <c r="A11096" i="1"/>
  <c r="A11095" i="1"/>
  <c r="A11094" i="1"/>
  <c r="A11093" i="1"/>
  <c r="A11092" i="1"/>
  <c r="A11091" i="1"/>
  <c r="A11090" i="1"/>
  <c r="A11089" i="1"/>
  <c r="A11088" i="1"/>
  <c r="A11087" i="1"/>
  <c r="A11086" i="1"/>
  <c r="A11085" i="1"/>
  <c r="A11084" i="1"/>
  <c r="A11083" i="1"/>
  <c r="A11082" i="1"/>
  <c r="A11081" i="1"/>
  <c r="A11080" i="1"/>
  <c r="A11079" i="1"/>
  <c r="A11078" i="1"/>
  <c r="A11077" i="1"/>
  <c r="A11076" i="1"/>
  <c r="A11075" i="1"/>
  <c r="A11074" i="1"/>
  <c r="A11073" i="1"/>
  <c r="A11072" i="1"/>
  <c r="A11071" i="1"/>
  <c r="A11070" i="1"/>
  <c r="A11069" i="1"/>
  <c r="A11068" i="1"/>
  <c r="A11067" i="1"/>
  <c r="A11066" i="1"/>
  <c r="A11065" i="1"/>
  <c r="A11064" i="1"/>
  <c r="A11063" i="1"/>
  <c r="A11062" i="1"/>
  <c r="A11061" i="1"/>
  <c r="A11060" i="1"/>
  <c r="A11059" i="1"/>
  <c r="A11058" i="1"/>
  <c r="A11057" i="1"/>
  <c r="A11056" i="1"/>
  <c r="A11055" i="1"/>
  <c r="A11054" i="1"/>
  <c r="A11053" i="1"/>
  <c r="A11052" i="1"/>
  <c r="A11051" i="1"/>
  <c r="A11050" i="1"/>
  <c r="A11049" i="1"/>
  <c r="A11048" i="1"/>
  <c r="A11047" i="1"/>
  <c r="A11046" i="1"/>
  <c r="A11045" i="1"/>
  <c r="A11044" i="1"/>
  <c r="A11043" i="1"/>
  <c r="A11042" i="1"/>
  <c r="A11041" i="1"/>
  <c r="A11040" i="1"/>
  <c r="A11039" i="1"/>
  <c r="A11038" i="1"/>
  <c r="A11037" i="1"/>
  <c r="A11036" i="1"/>
  <c r="A11035" i="1"/>
  <c r="A11034" i="1"/>
  <c r="A11033" i="1"/>
  <c r="A11032" i="1"/>
  <c r="A11031" i="1"/>
  <c r="A11030" i="1"/>
  <c r="A11029" i="1"/>
  <c r="A11028" i="1"/>
  <c r="A11027" i="1"/>
  <c r="A11026" i="1"/>
  <c r="A11025" i="1"/>
  <c r="A11024" i="1"/>
  <c r="A11023" i="1"/>
  <c r="A11022" i="1"/>
  <c r="A11021" i="1"/>
  <c r="A11020" i="1"/>
  <c r="A11019" i="1"/>
  <c r="A11018" i="1"/>
  <c r="A11017" i="1"/>
  <c r="A11016" i="1"/>
  <c r="A11015" i="1"/>
  <c r="A11014" i="1"/>
  <c r="A11013" i="1"/>
  <c r="A11012" i="1"/>
  <c r="A11011" i="1"/>
  <c r="A11010" i="1"/>
  <c r="A11009" i="1"/>
  <c r="A11008" i="1"/>
  <c r="A11007" i="1"/>
  <c r="A11006" i="1"/>
  <c r="A11005" i="1"/>
  <c r="A11004" i="1"/>
  <c r="A11003" i="1"/>
  <c r="A11002" i="1"/>
  <c r="A11001" i="1"/>
  <c r="A11000" i="1"/>
  <c r="A10999" i="1"/>
  <c r="A10998" i="1"/>
  <c r="A10997" i="1"/>
  <c r="A10996" i="1"/>
  <c r="A10995" i="1"/>
  <c r="A10994" i="1"/>
  <c r="A10993" i="1"/>
  <c r="A10992" i="1"/>
  <c r="A10991" i="1"/>
  <c r="A10990" i="1"/>
  <c r="A10989" i="1"/>
  <c r="A10988" i="1"/>
  <c r="A10987" i="1"/>
  <c r="A10986" i="1"/>
  <c r="A10985" i="1"/>
  <c r="A10984" i="1"/>
  <c r="A10983" i="1"/>
  <c r="A10982" i="1"/>
  <c r="A10981" i="1"/>
  <c r="A10980" i="1"/>
  <c r="A10979" i="1"/>
  <c r="A10978" i="1"/>
  <c r="A10977" i="1"/>
  <c r="A10976" i="1"/>
  <c r="A10975" i="1"/>
  <c r="A10974" i="1"/>
  <c r="A10973" i="1"/>
  <c r="A10972" i="1"/>
  <c r="A10971" i="1"/>
  <c r="A10970" i="1"/>
  <c r="A10969" i="1"/>
  <c r="A10968" i="1"/>
  <c r="A10967" i="1"/>
  <c r="A10966" i="1"/>
  <c r="A10965" i="1"/>
  <c r="A10964" i="1"/>
  <c r="A10963" i="1"/>
  <c r="A10962" i="1"/>
  <c r="A10961" i="1"/>
  <c r="A10960" i="1"/>
  <c r="A10959" i="1"/>
  <c r="A10958" i="1"/>
  <c r="A10957" i="1"/>
  <c r="A10956" i="1"/>
  <c r="A10955" i="1"/>
  <c r="A10954" i="1"/>
  <c r="A10953" i="1"/>
  <c r="A10952" i="1"/>
  <c r="A10951" i="1"/>
  <c r="A10950" i="1"/>
  <c r="A10949" i="1"/>
  <c r="A10948" i="1"/>
  <c r="A10947" i="1"/>
  <c r="A10946" i="1"/>
  <c r="A10945" i="1"/>
  <c r="A10944" i="1"/>
  <c r="A10943" i="1"/>
  <c r="A10942" i="1"/>
  <c r="A10941" i="1"/>
  <c r="A10940" i="1"/>
  <c r="A10939" i="1"/>
  <c r="A10938" i="1"/>
  <c r="A10937" i="1"/>
  <c r="A10936" i="1"/>
  <c r="A10935" i="1"/>
  <c r="A10934" i="1"/>
  <c r="A10933" i="1"/>
  <c r="A10932" i="1"/>
  <c r="A10931" i="1"/>
  <c r="A10930" i="1"/>
  <c r="A10929" i="1"/>
  <c r="A10928" i="1"/>
  <c r="A10927" i="1"/>
  <c r="A10926" i="1"/>
  <c r="A10925" i="1"/>
  <c r="A10924" i="1"/>
  <c r="A10923" i="1"/>
  <c r="A10922" i="1"/>
  <c r="A10921" i="1"/>
  <c r="A10920" i="1"/>
  <c r="A10919" i="1"/>
  <c r="A10918" i="1"/>
  <c r="A10917" i="1"/>
  <c r="A10916" i="1"/>
  <c r="A10915" i="1"/>
  <c r="A10914" i="1"/>
  <c r="A10913" i="1"/>
  <c r="A10912" i="1"/>
  <c r="A10911" i="1"/>
  <c r="A10910" i="1"/>
  <c r="A10909" i="1"/>
  <c r="A10908" i="1"/>
  <c r="A10907" i="1"/>
  <c r="A10906" i="1"/>
  <c r="A10905" i="1"/>
  <c r="A10904" i="1"/>
  <c r="A10903" i="1"/>
  <c r="A10902" i="1"/>
  <c r="A10901" i="1"/>
  <c r="A10900" i="1"/>
  <c r="A10899" i="1"/>
  <c r="A10898" i="1"/>
  <c r="A10897" i="1"/>
  <c r="A10896" i="1"/>
  <c r="A10895" i="1"/>
  <c r="A10894" i="1"/>
  <c r="A10893" i="1"/>
  <c r="A10892" i="1"/>
  <c r="A10891" i="1"/>
  <c r="A10890" i="1"/>
  <c r="A10889" i="1"/>
  <c r="A10888" i="1"/>
  <c r="A10887" i="1"/>
  <c r="A10886" i="1"/>
  <c r="A10885" i="1"/>
  <c r="A10884" i="1"/>
  <c r="A10883" i="1"/>
  <c r="A10882" i="1"/>
  <c r="A10881" i="1"/>
  <c r="A10880" i="1"/>
  <c r="A10879" i="1"/>
  <c r="A10878" i="1"/>
  <c r="A10877" i="1"/>
  <c r="A10876" i="1"/>
  <c r="A10875" i="1"/>
  <c r="A10874" i="1"/>
  <c r="A10873" i="1"/>
  <c r="A10872" i="1"/>
  <c r="A10871" i="1"/>
  <c r="A10870" i="1"/>
  <c r="A10869" i="1"/>
  <c r="A10868" i="1"/>
  <c r="A10867" i="1"/>
  <c r="A10866" i="1"/>
  <c r="A10865" i="1"/>
  <c r="A10864" i="1"/>
  <c r="A10863" i="1"/>
  <c r="A10862" i="1"/>
  <c r="A10861" i="1"/>
  <c r="A10860" i="1"/>
  <c r="A10859" i="1"/>
  <c r="A10858" i="1"/>
  <c r="A10857" i="1"/>
  <c r="A10856" i="1"/>
  <c r="A10855" i="1"/>
  <c r="A10854" i="1"/>
  <c r="A10853" i="1"/>
  <c r="A10852" i="1"/>
  <c r="A10851" i="1"/>
  <c r="A10850" i="1"/>
  <c r="A10849" i="1"/>
  <c r="A10848" i="1"/>
  <c r="A10847" i="1"/>
  <c r="A10846" i="1"/>
  <c r="A10845" i="1"/>
  <c r="A10844" i="1"/>
  <c r="A10843" i="1"/>
  <c r="A10842" i="1"/>
  <c r="A10841" i="1"/>
  <c r="A10840" i="1"/>
  <c r="A10839" i="1"/>
  <c r="A10838" i="1"/>
  <c r="A10837" i="1"/>
  <c r="A10836" i="1"/>
  <c r="A10835" i="1"/>
  <c r="A10834" i="1"/>
  <c r="A10833" i="1"/>
  <c r="A10832" i="1"/>
  <c r="A10831" i="1"/>
  <c r="A10830" i="1"/>
  <c r="A10829" i="1"/>
  <c r="A10828" i="1"/>
  <c r="A10827" i="1"/>
  <c r="A10826" i="1"/>
  <c r="A10825" i="1"/>
  <c r="A10824" i="1"/>
  <c r="A10823" i="1"/>
  <c r="A10822" i="1"/>
  <c r="A10821" i="1"/>
  <c r="A10820" i="1"/>
  <c r="A10819" i="1"/>
  <c r="A10818" i="1"/>
  <c r="A10817" i="1"/>
  <c r="A10816" i="1"/>
  <c r="A10815" i="1"/>
  <c r="A10814" i="1"/>
  <c r="A10813" i="1"/>
  <c r="A10812" i="1"/>
  <c r="A10811" i="1"/>
  <c r="A10810" i="1"/>
  <c r="A10809" i="1"/>
  <c r="A10808" i="1"/>
  <c r="A10807" i="1"/>
  <c r="A10806" i="1"/>
  <c r="A10805" i="1"/>
  <c r="A10804" i="1"/>
  <c r="A10803" i="1"/>
  <c r="A10802" i="1"/>
  <c r="A10801" i="1"/>
  <c r="A10800" i="1"/>
  <c r="A10799" i="1"/>
  <c r="A10798" i="1"/>
  <c r="A10797" i="1"/>
  <c r="A10796" i="1"/>
  <c r="A10795" i="1"/>
  <c r="A10794" i="1"/>
  <c r="A10793" i="1"/>
  <c r="A10792" i="1"/>
  <c r="A10791" i="1"/>
  <c r="A10790" i="1"/>
  <c r="A10789" i="1"/>
  <c r="A10788" i="1"/>
  <c r="A10787" i="1"/>
  <c r="A10786" i="1"/>
  <c r="A10785" i="1"/>
  <c r="A10784" i="1"/>
  <c r="A10783" i="1"/>
  <c r="A10782" i="1"/>
  <c r="A10781" i="1"/>
  <c r="A10780" i="1"/>
  <c r="A10779" i="1"/>
  <c r="A10778" i="1"/>
  <c r="A10777" i="1"/>
  <c r="A10776" i="1"/>
  <c r="A10775" i="1"/>
  <c r="A10774" i="1"/>
  <c r="A10773" i="1"/>
  <c r="A10772" i="1"/>
  <c r="A10771" i="1"/>
  <c r="A10770" i="1"/>
  <c r="A10769" i="1"/>
  <c r="A10768" i="1"/>
  <c r="A10767" i="1"/>
  <c r="A10766" i="1"/>
  <c r="A10765" i="1"/>
  <c r="A10764" i="1"/>
  <c r="A10763" i="1"/>
  <c r="A10762" i="1"/>
  <c r="A10761" i="1"/>
  <c r="A10760" i="1"/>
  <c r="A10759" i="1"/>
  <c r="A10758" i="1"/>
  <c r="A10757" i="1"/>
  <c r="A10756" i="1"/>
  <c r="A10755" i="1"/>
  <c r="A10754" i="1"/>
  <c r="A10753" i="1"/>
  <c r="A10752" i="1"/>
  <c r="A10751" i="1"/>
  <c r="A10750" i="1"/>
  <c r="A10749" i="1"/>
  <c r="A10748" i="1"/>
  <c r="A10747" i="1"/>
  <c r="A10746" i="1"/>
  <c r="A10745" i="1"/>
  <c r="A10744" i="1"/>
  <c r="A10743" i="1"/>
  <c r="A10742" i="1"/>
  <c r="A10741" i="1"/>
  <c r="A10740" i="1"/>
  <c r="A10739" i="1"/>
  <c r="A10738" i="1"/>
  <c r="A10737" i="1"/>
  <c r="A10736" i="1"/>
  <c r="A10735" i="1"/>
  <c r="A10734" i="1"/>
  <c r="A10733" i="1"/>
  <c r="A10732" i="1"/>
  <c r="A10731" i="1"/>
  <c r="A10730" i="1"/>
  <c r="A10729" i="1"/>
  <c r="A10728" i="1"/>
  <c r="A10727" i="1"/>
  <c r="A10726" i="1"/>
  <c r="A10725" i="1"/>
  <c r="A10724" i="1"/>
  <c r="A10723" i="1"/>
  <c r="A10722" i="1"/>
  <c r="A10721" i="1"/>
  <c r="A10720" i="1"/>
  <c r="A10719" i="1"/>
  <c r="A10718" i="1"/>
  <c r="A10717" i="1"/>
  <c r="A10716" i="1"/>
  <c r="A10715" i="1"/>
  <c r="A10714" i="1"/>
  <c r="A10713" i="1"/>
  <c r="A10712" i="1"/>
  <c r="A10711" i="1"/>
  <c r="A10710" i="1"/>
  <c r="A10709" i="1"/>
  <c r="A10708" i="1"/>
  <c r="A10707" i="1"/>
  <c r="A10706" i="1"/>
  <c r="A10705" i="1"/>
  <c r="A10704" i="1"/>
  <c r="A10703" i="1"/>
  <c r="A10702" i="1"/>
  <c r="A10701" i="1"/>
  <c r="A10700" i="1"/>
  <c r="A10699" i="1"/>
  <c r="A10698" i="1"/>
  <c r="A10697" i="1"/>
  <c r="A10696" i="1"/>
  <c r="A10695" i="1"/>
  <c r="A10694" i="1"/>
  <c r="A10693" i="1"/>
  <c r="A10692" i="1"/>
  <c r="A10691" i="1"/>
  <c r="A10690" i="1"/>
  <c r="A10689" i="1"/>
  <c r="A10688" i="1"/>
  <c r="A10687" i="1"/>
  <c r="A10686" i="1"/>
  <c r="A10685" i="1"/>
  <c r="A10684" i="1"/>
  <c r="A10683" i="1"/>
  <c r="A10682" i="1"/>
  <c r="A10681" i="1"/>
  <c r="A10680" i="1"/>
  <c r="A10679" i="1"/>
  <c r="A10678" i="1"/>
  <c r="A10677" i="1"/>
  <c r="A10676" i="1"/>
  <c r="A10675" i="1"/>
  <c r="A10674" i="1"/>
  <c r="A10673" i="1"/>
  <c r="A10672" i="1"/>
  <c r="A10671" i="1"/>
  <c r="A10670" i="1"/>
  <c r="A10669" i="1"/>
  <c r="A10668" i="1"/>
  <c r="A10667" i="1"/>
  <c r="A10666" i="1"/>
  <c r="A10665" i="1"/>
  <c r="A10664" i="1"/>
  <c r="A10663" i="1"/>
  <c r="A10662" i="1"/>
  <c r="A10661" i="1"/>
  <c r="A10660" i="1"/>
  <c r="A10659" i="1"/>
  <c r="A10658" i="1"/>
  <c r="A10657" i="1"/>
  <c r="A10656" i="1"/>
  <c r="A10655" i="1"/>
  <c r="A10654" i="1"/>
  <c r="A10653" i="1"/>
  <c r="A10652" i="1"/>
  <c r="A10651" i="1"/>
  <c r="A10650" i="1"/>
  <c r="A10649" i="1"/>
  <c r="A10648" i="1"/>
  <c r="A10647" i="1"/>
  <c r="A10646" i="1"/>
  <c r="A10645" i="1"/>
  <c r="A10644" i="1"/>
  <c r="A10643" i="1"/>
  <c r="A10642" i="1"/>
  <c r="A10641" i="1"/>
  <c r="A10640" i="1"/>
  <c r="A10639" i="1"/>
  <c r="A10638" i="1"/>
  <c r="A10637" i="1"/>
  <c r="A10636" i="1"/>
  <c r="A10635" i="1"/>
  <c r="A10634" i="1"/>
  <c r="A10633" i="1"/>
  <c r="A10632" i="1"/>
  <c r="A10631" i="1"/>
  <c r="A10630" i="1"/>
  <c r="A10629" i="1"/>
  <c r="A10628" i="1"/>
  <c r="A10627" i="1"/>
  <c r="A10626" i="1"/>
  <c r="A10625" i="1"/>
  <c r="A10624" i="1"/>
  <c r="A10623" i="1"/>
  <c r="A10622" i="1"/>
  <c r="A10621" i="1"/>
  <c r="A10620" i="1"/>
  <c r="A10619" i="1"/>
  <c r="A10618" i="1"/>
  <c r="A10617" i="1"/>
  <c r="A10616" i="1"/>
  <c r="A10615" i="1"/>
  <c r="A10614" i="1"/>
  <c r="A10613" i="1"/>
  <c r="A10612" i="1"/>
  <c r="A10611" i="1"/>
  <c r="A10610" i="1"/>
  <c r="A10609" i="1"/>
  <c r="A10608" i="1"/>
  <c r="A10607" i="1"/>
  <c r="A10606" i="1"/>
  <c r="A10605" i="1"/>
  <c r="A10604" i="1"/>
  <c r="A10603" i="1"/>
  <c r="A10602" i="1"/>
  <c r="A10601" i="1"/>
  <c r="A10600" i="1"/>
  <c r="A10599" i="1"/>
  <c r="A10598" i="1"/>
  <c r="A10597" i="1"/>
  <c r="A10596" i="1"/>
  <c r="A10595" i="1"/>
  <c r="A10594" i="1"/>
  <c r="A10593" i="1"/>
  <c r="A10592" i="1"/>
  <c r="A10591" i="1"/>
  <c r="A10590" i="1"/>
  <c r="A10589" i="1"/>
  <c r="A10588" i="1"/>
  <c r="A10587" i="1"/>
  <c r="A10586" i="1"/>
  <c r="A10585" i="1"/>
  <c r="A10584" i="1"/>
  <c r="A10583" i="1"/>
  <c r="A10582" i="1"/>
  <c r="A10581" i="1"/>
  <c r="A10580" i="1"/>
  <c r="A10579" i="1"/>
  <c r="A10578" i="1"/>
  <c r="A10577" i="1"/>
  <c r="A10576" i="1"/>
  <c r="A10575" i="1"/>
  <c r="A10574" i="1"/>
  <c r="A10573" i="1"/>
  <c r="A10572" i="1"/>
  <c r="A10571" i="1"/>
  <c r="A10570" i="1"/>
  <c r="A10569" i="1"/>
  <c r="A10568" i="1"/>
  <c r="A10567" i="1"/>
  <c r="A10566" i="1"/>
  <c r="A10565" i="1"/>
  <c r="A10564" i="1"/>
  <c r="A10563" i="1"/>
  <c r="A10562" i="1"/>
  <c r="A10561" i="1"/>
  <c r="A10560" i="1"/>
  <c r="A10559" i="1"/>
  <c r="A10558" i="1"/>
  <c r="A10557" i="1"/>
  <c r="A10556" i="1"/>
  <c r="A10555" i="1"/>
  <c r="A10554" i="1"/>
  <c r="A10553" i="1"/>
  <c r="A10552" i="1"/>
  <c r="A10551" i="1"/>
  <c r="A10550" i="1"/>
  <c r="A10549" i="1"/>
  <c r="A10548" i="1"/>
  <c r="A10547" i="1"/>
  <c r="A10546" i="1"/>
  <c r="A10545" i="1"/>
  <c r="A10544" i="1"/>
  <c r="A10543" i="1"/>
  <c r="A10542" i="1"/>
  <c r="A10541" i="1"/>
  <c r="A10540" i="1"/>
  <c r="A10539" i="1"/>
  <c r="A10538" i="1"/>
  <c r="A10537" i="1"/>
  <c r="A10536" i="1"/>
  <c r="A10535" i="1"/>
  <c r="A10534" i="1"/>
  <c r="A10533" i="1"/>
  <c r="A10532" i="1"/>
  <c r="A10531" i="1"/>
  <c r="A10530" i="1"/>
  <c r="A10529" i="1"/>
  <c r="A10528" i="1"/>
  <c r="A10527" i="1"/>
  <c r="A10526" i="1"/>
  <c r="A10525" i="1"/>
  <c r="A10524" i="1"/>
  <c r="A10523" i="1"/>
  <c r="A10522" i="1"/>
  <c r="A10521" i="1"/>
  <c r="A10520" i="1"/>
  <c r="A10519" i="1"/>
  <c r="A10518" i="1"/>
  <c r="A10517" i="1"/>
  <c r="A10516" i="1"/>
  <c r="A10515" i="1"/>
  <c r="A10514" i="1"/>
  <c r="A10513" i="1"/>
  <c r="A10512" i="1"/>
  <c r="A10511" i="1"/>
  <c r="A10510" i="1"/>
  <c r="A10509" i="1"/>
  <c r="A10508" i="1"/>
  <c r="A10507" i="1"/>
  <c r="A10506" i="1"/>
  <c r="A10505" i="1"/>
  <c r="A10504" i="1"/>
  <c r="A10503" i="1"/>
  <c r="A10502" i="1"/>
  <c r="A10501" i="1"/>
  <c r="A10500" i="1"/>
  <c r="A10499" i="1"/>
  <c r="A10498" i="1"/>
  <c r="A10497" i="1"/>
  <c r="A10496" i="1"/>
  <c r="A10495" i="1"/>
  <c r="A10494" i="1"/>
  <c r="A10493" i="1"/>
  <c r="A10492" i="1"/>
  <c r="A10491" i="1"/>
  <c r="A10490" i="1"/>
  <c r="A10489" i="1"/>
  <c r="A10488" i="1"/>
  <c r="A10487" i="1"/>
  <c r="A10486" i="1"/>
  <c r="A10485" i="1"/>
  <c r="A10484" i="1"/>
  <c r="A10483" i="1"/>
  <c r="A10482" i="1"/>
  <c r="A10481" i="1"/>
  <c r="A10480" i="1"/>
  <c r="A10479" i="1"/>
  <c r="A10478" i="1"/>
  <c r="A10477" i="1"/>
  <c r="A10476" i="1"/>
  <c r="A10475" i="1"/>
  <c r="A10474" i="1"/>
  <c r="A10473" i="1"/>
  <c r="A10472" i="1"/>
  <c r="A10471" i="1"/>
  <c r="A10470" i="1"/>
  <c r="A10469" i="1"/>
  <c r="A10468" i="1"/>
  <c r="A10467" i="1"/>
  <c r="A10466" i="1"/>
  <c r="A10465" i="1"/>
  <c r="A10464" i="1"/>
  <c r="A10463" i="1"/>
  <c r="A10462" i="1"/>
  <c r="A10461" i="1"/>
  <c r="A10460" i="1"/>
  <c r="A10459" i="1"/>
  <c r="A10458" i="1"/>
  <c r="A10457" i="1"/>
  <c r="A10456" i="1"/>
  <c r="A10455" i="1"/>
  <c r="A10454" i="1"/>
  <c r="A10453" i="1"/>
  <c r="A10452" i="1"/>
  <c r="A10451" i="1"/>
  <c r="A10450" i="1"/>
  <c r="A10449" i="1"/>
  <c r="A10448" i="1"/>
  <c r="A10447" i="1"/>
  <c r="A10446" i="1"/>
  <c r="A10445" i="1"/>
  <c r="A10444" i="1"/>
  <c r="A10443" i="1"/>
  <c r="A10442" i="1"/>
  <c r="A10441" i="1"/>
  <c r="A10440" i="1"/>
  <c r="A10439" i="1"/>
  <c r="A10438" i="1"/>
  <c r="A10437" i="1"/>
  <c r="A10436" i="1"/>
  <c r="A10435" i="1"/>
  <c r="A10434" i="1"/>
  <c r="A10433" i="1"/>
  <c r="A10432" i="1"/>
  <c r="A10431" i="1"/>
  <c r="A10430" i="1"/>
  <c r="A10429" i="1"/>
  <c r="A10428" i="1"/>
  <c r="A10427" i="1"/>
  <c r="A10426" i="1"/>
  <c r="A10425" i="1"/>
  <c r="A10424" i="1"/>
  <c r="A10423" i="1"/>
  <c r="A10422" i="1"/>
  <c r="A10421" i="1"/>
  <c r="A10420" i="1"/>
  <c r="A10419" i="1"/>
  <c r="A10418" i="1"/>
  <c r="A10417" i="1"/>
  <c r="A10416" i="1"/>
  <c r="A10415" i="1"/>
  <c r="A10414" i="1"/>
  <c r="A10413" i="1"/>
  <c r="A10412" i="1"/>
  <c r="A10411" i="1"/>
  <c r="A10410" i="1"/>
  <c r="A10409" i="1"/>
  <c r="A10408" i="1"/>
  <c r="A10407" i="1"/>
  <c r="A10406" i="1"/>
  <c r="A10405" i="1"/>
  <c r="A10404" i="1"/>
  <c r="A10403" i="1"/>
  <c r="A10402" i="1"/>
  <c r="A10401" i="1"/>
  <c r="A10400" i="1"/>
  <c r="A10399" i="1"/>
  <c r="A10398" i="1"/>
  <c r="A10397" i="1"/>
  <c r="A10396" i="1"/>
  <c r="A10395" i="1"/>
  <c r="A10394" i="1"/>
  <c r="A10393" i="1"/>
  <c r="A10392" i="1"/>
  <c r="A10391" i="1"/>
  <c r="A10390" i="1"/>
  <c r="A10389" i="1"/>
  <c r="A10388" i="1"/>
  <c r="A10387" i="1"/>
  <c r="A10386" i="1"/>
  <c r="A10385" i="1"/>
  <c r="A10384" i="1"/>
  <c r="A10383" i="1"/>
  <c r="A10382" i="1"/>
  <c r="A10381" i="1"/>
  <c r="A10380" i="1"/>
  <c r="A10379" i="1"/>
  <c r="A10378" i="1"/>
  <c r="A10377" i="1"/>
  <c r="A10376" i="1"/>
  <c r="A10375" i="1"/>
  <c r="A10374" i="1"/>
  <c r="A10373" i="1"/>
  <c r="A10372" i="1"/>
  <c r="A10371" i="1"/>
  <c r="A10370" i="1"/>
  <c r="A10369" i="1"/>
  <c r="A10368" i="1"/>
  <c r="A10367" i="1"/>
  <c r="A10366" i="1"/>
  <c r="A10365" i="1"/>
  <c r="A10364" i="1"/>
  <c r="A10363" i="1"/>
  <c r="A10362" i="1"/>
  <c r="A10361" i="1"/>
  <c r="A10360" i="1"/>
  <c r="A10359" i="1"/>
  <c r="A10358" i="1"/>
  <c r="A10357" i="1"/>
  <c r="A10356" i="1"/>
  <c r="A10355" i="1"/>
  <c r="A10354" i="1"/>
  <c r="A10353" i="1"/>
  <c r="A10352" i="1"/>
  <c r="A10351" i="1"/>
  <c r="A10350" i="1"/>
  <c r="A10349" i="1"/>
  <c r="A10348" i="1"/>
  <c r="A10347" i="1"/>
  <c r="A10346" i="1"/>
  <c r="A10345" i="1"/>
  <c r="A10344" i="1"/>
  <c r="A10343" i="1"/>
  <c r="A10342" i="1"/>
  <c r="A10341" i="1"/>
  <c r="A10340" i="1"/>
  <c r="A10339" i="1"/>
  <c r="A10338" i="1"/>
  <c r="A10337" i="1"/>
  <c r="A10336" i="1"/>
  <c r="A10335" i="1"/>
  <c r="A10334" i="1"/>
  <c r="A10333" i="1"/>
  <c r="A10332" i="1"/>
  <c r="A10331" i="1"/>
  <c r="A10330" i="1"/>
  <c r="A10329" i="1"/>
  <c r="A10328" i="1"/>
  <c r="A10327" i="1"/>
  <c r="A10326" i="1"/>
  <c r="A10325" i="1"/>
  <c r="A10324" i="1"/>
  <c r="A10323" i="1"/>
  <c r="A10322" i="1"/>
  <c r="A10321" i="1"/>
  <c r="A10320" i="1"/>
  <c r="A10319" i="1"/>
  <c r="A10318" i="1"/>
  <c r="A10317" i="1"/>
  <c r="A10316" i="1"/>
  <c r="A10315" i="1"/>
  <c r="A10314" i="1"/>
  <c r="A10313" i="1"/>
  <c r="A10312" i="1"/>
  <c r="A10311" i="1"/>
  <c r="A10310" i="1"/>
  <c r="A10309" i="1"/>
  <c r="A10308" i="1"/>
  <c r="A10307" i="1"/>
  <c r="A10306" i="1"/>
  <c r="A10305" i="1"/>
  <c r="A10304" i="1"/>
  <c r="A10303" i="1"/>
  <c r="A10302" i="1"/>
  <c r="A10301" i="1"/>
  <c r="A10300" i="1"/>
  <c r="A10299" i="1"/>
  <c r="A10298" i="1"/>
  <c r="A10297" i="1"/>
  <c r="A10296" i="1"/>
  <c r="A10295" i="1"/>
  <c r="A10294" i="1"/>
  <c r="A10293" i="1"/>
  <c r="A10292" i="1"/>
  <c r="A10291" i="1"/>
  <c r="A10290" i="1"/>
  <c r="A10289" i="1"/>
  <c r="A10288" i="1"/>
  <c r="A10287" i="1"/>
  <c r="A10286" i="1"/>
  <c r="A10285" i="1"/>
  <c r="A10284" i="1"/>
  <c r="A10283" i="1"/>
  <c r="A10282" i="1"/>
  <c r="A10281" i="1"/>
  <c r="A10280" i="1"/>
  <c r="A10279" i="1"/>
  <c r="A10278" i="1"/>
  <c r="A10277" i="1"/>
  <c r="A10276" i="1"/>
  <c r="A10275" i="1"/>
  <c r="A10274" i="1"/>
  <c r="A10273" i="1"/>
  <c r="A10272" i="1"/>
  <c r="A10271" i="1"/>
  <c r="A10270" i="1"/>
  <c r="A10269" i="1"/>
  <c r="A10268" i="1"/>
  <c r="A10267" i="1"/>
  <c r="A10266" i="1"/>
  <c r="A10265" i="1"/>
  <c r="A10264" i="1"/>
  <c r="A10263" i="1"/>
  <c r="A10262" i="1"/>
  <c r="A10261" i="1"/>
  <c r="A10260" i="1"/>
  <c r="A10259" i="1"/>
  <c r="A10258" i="1"/>
  <c r="A10257" i="1"/>
  <c r="A10256" i="1"/>
  <c r="A10255" i="1"/>
  <c r="A10254" i="1"/>
  <c r="A10253" i="1"/>
  <c r="A10252" i="1"/>
  <c r="A10251" i="1"/>
  <c r="A10250" i="1"/>
  <c r="A10249" i="1"/>
  <c r="A10248" i="1"/>
  <c r="A10247" i="1"/>
  <c r="A10246" i="1"/>
  <c r="A10245" i="1"/>
  <c r="A10244" i="1"/>
  <c r="A10243" i="1"/>
  <c r="A10242" i="1"/>
  <c r="A10241" i="1"/>
  <c r="A10240" i="1"/>
  <c r="A10239" i="1"/>
  <c r="A10238" i="1"/>
  <c r="A10237" i="1"/>
  <c r="A10236" i="1"/>
  <c r="A10235" i="1"/>
  <c r="A10234" i="1"/>
  <c r="A10233" i="1"/>
  <c r="A10232" i="1"/>
  <c r="A10231" i="1"/>
  <c r="A10230" i="1"/>
  <c r="A10229" i="1"/>
  <c r="A10228" i="1"/>
  <c r="A10227" i="1"/>
  <c r="A10226" i="1"/>
  <c r="A10225" i="1"/>
  <c r="A10224" i="1"/>
  <c r="A10223" i="1"/>
  <c r="A10222" i="1"/>
  <c r="A10221" i="1"/>
  <c r="A10220" i="1"/>
  <c r="A10219" i="1"/>
  <c r="A10218" i="1"/>
  <c r="A10217" i="1"/>
  <c r="A10216" i="1"/>
  <c r="A10215" i="1"/>
  <c r="A10214" i="1"/>
  <c r="A10213" i="1"/>
  <c r="A10212" i="1"/>
  <c r="A10211" i="1"/>
  <c r="A10210" i="1"/>
  <c r="A10209" i="1"/>
  <c r="A10208" i="1"/>
  <c r="A10207" i="1"/>
  <c r="A10206" i="1"/>
  <c r="A10205" i="1"/>
  <c r="A10204" i="1"/>
  <c r="A10203" i="1"/>
  <c r="A10202" i="1"/>
  <c r="A10201" i="1"/>
  <c r="A10200" i="1"/>
  <c r="A10199" i="1"/>
  <c r="A10198" i="1"/>
  <c r="A10197" i="1"/>
  <c r="A10196" i="1"/>
  <c r="A10195" i="1"/>
  <c r="A10194" i="1"/>
  <c r="A10193" i="1"/>
  <c r="A10192" i="1"/>
  <c r="A10191" i="1"/>
  <c r="A10190" i="1"/>
  <c r="A10189" i="1"/>
  <c r="A10188" i="1"/>
  <c r="A10187" i="1"/>
  <c r="A10186" i="1"/>
  <c r="A10185" i="1"/>
  <c r="A10184" i="1"/>
  <c r="A10183" i="1"/>
  <c r="A10182" i="1"/>
  <c r="A10181" i="1"/>
  <c r="A10180" i="1"/>
  <c r="A10179" i="1"/>
  <c r="A10178" i="1"/>
  <c r="A10177" i="1"/>
  <c r="A10176" i="1"/>
  <c r="A10175" i="1"/>
  <c r="A10174" i="1"/>
  <c r="A10173" i="1"/>
  <c r="A10172" i="1"/>
  <c r="A10171" i="1"/>
  <c r="A10170" i="1"/>
  <c r="A10169" i="1"/>
  <c r="A10168" i="1"/>
  <c r="A10167" i="1"/>
  <c r="A10166" i="1"/>
  <c r="A10165" i="1"/>
  <c r="A10164" i="1"/>
  <c r="A10163" i="1"/>
  <c r="A10162" i="1"/>
  <c r="A10161" i="1"/>
  <c r="A10160" i="1"/>
  <c r="A10159" i="1"/>
  <c r="A10158" i="1"/>
  <c r="A10157" i="1"/>
  <c r="A10156" i="1"/>
  <c r="A10155" i="1"/>
  <c r="A10154" i="1"/>
  <c r="A10153" i="1"/>
  <c r="A10152" i="1"/>
  <c r="A10151" i="1"/>
  <c r="A10150" i="1"/>
  <c r="A10149" i="1"/>
  <c r="A10148" i="1"/>
  <c r="A10147" i="1"/>
  <c r="A10146" i="1"/>
  <c r="A10145" i="1"/>
  <c r="A10144" i="1"/>
  <c r="A10143" i="1"/>
  <c r="A10142" i="1"/>
  <c r="A10141" i="1"/>
  <c r="A10140" i="1"/>
  <c r="A10139" i="1"/>
  <c r="A10138" i="1"/>
  <c r="A10137" i="1"/>
  <c r="A10136" i="1"/>
  <c r="A10135" i="1"/>
  <c r="A10134" i="1"/>
  <c r="A10133" i="1"/>
  <c r="A10132" i="1"/>
  <c r="A10131" i="1"/>
  <c r="A10130" i="1"/>
  <c r="A10129" i="1"/>
  <c r="A10128" i="1"/>
  <c r="A10127" i="1"/>
  <c r="A10126" i="1"/>
  <c r="A10125" i="1"/>
  <c r="A10124" i="1"/>
  <c r="A10123" i="1"/>
  <c r="A10122" i="1"/>
  <c r="A10121" i="1"/>
  <c r="A10120" i="1"/>
  <c r="A10119" i="1"/>
  <c r="A10118" i="1"/>
  <c r="A10117" i="1"/>
  <c r="A10116" i="1"/>
  <c r="A10115" i="1"/>
  <c r="A10114" i="1"/>
  <c r="A10113" i="1"/>
  <c r="A10112" i="1"/>
  <c r="A10111" i="1"/>
  <c r="A10110" i="1"/>
  <c r="A10109" i="1"/>
  <c r="A10108" i="1"/>
  <c r="A10107" i="1"/>
  <c r="A10106" i="1"/>
  <c r="A10105" i="1"/>
  <c r="A10104" i="1"/>
  <c r="A10103" i="1"/>
  <c r="A10102" i="1"/>
  <c r="A10101" i="1"/>
  <c r="A10100" i="1"/>
  <c r="A10099" i="1"/>
  <c r="A10098" i="1"/>
  <c r="A10097" i="1"/>
  <c r="A10096" i="1"/>
  <c r="A10095" i="1"/>
  <c r="A10094" i="1"/>
  <c r="A10093" i="1"/>
  <c r="A10092" i="1"/>
  <c r="A10091" i="1"/>
  <c r="A10090" i="1"/>
  <c r="A10089" i="1"/>
  <c r="A10088" i="1"/>
  <c r="A10087" i="1"/>
  <c r="A10086" i="1"/>
  <c r="A10085" i="1"/>
  <c r="A10084" i="1"/>
  <c r="A10083" i="1"/>
  <c r="A10082" i="1"/>
  <c r="A10081" i="1"/>
  <c r="A10080" i="1"/>
  <c r="A10079" i="1"/>
  <c r="A10078" i="1"/>
  <c r="A10077" i="1"/>
  <c r="A10076" i="1"/>
  <c r="A10075" i="1"/>
  <c r="A10074" i="1"/>
  <c r="A10073" i="1"/>
  <c r="A10072" i="1"/>
  <c r="A10071" i="1"/>
  <c r="A10070" i="1"/>
  <c r="A10069" i="1"/>
  <c r="A10068" i="1"/>
  <c r="A10067" i="1"/>
  <c r="A10066" i="1"/>
  <c r="A10065" i="1"/>
  <c r="A10064" i="1"/>
  <c r="A10063" i="1"/>
  <c r="A10062" i="1"/>
  <c r="A10061" i="1"/>
  <c r="A10060" i="1"/>
  <c r="A10059" i="1"/>
  <c r="A10058" i="1"/>
  <c r="A10057" i="1"/>
  <c r="A10056" i="1"/>
  <c r="A10055" i="1"/>
  <c r="A10054" i="1"/>
  <c r="A10053" i="1"/>
  <c r="A10052" i="1"/>
  <c r="A10051" i="1"/>
  <c r="A10050" i="1"/>
  <c r="A10049" i="1"/>
  <c r="A10048" i="1"/>
  <c r="A10047" i="1"/>
  <c r="A10046" i="1"/>
  <c r="A10045" i="1"/>
  <c r="A10044" i="1"/>
  <c r="A10043" i="1"/>
  <c r="A10042" i="1"/>
  <c r="A10041" i="1"/>
  <c r="A10040" i="1"/>
  <c r="A10039" i="1"/>
  <c r="A10038" i="1"/>
  <c r="A10037" i="1"/>
  <c r="A10036" i="1"/>
  <c r="A10035" i="1"/>
  <c r="A10034" i="1"/>
  <c r="A10033" i="1"/>
  <c r="A10032" i="1"/>
  <c r="A10031" i="1"/>
  <c r="A10030" i="1"/>
  <c r="A10029" i="1"/>
  <c r="A10028" i="1"/>
  <c r="A10027" i="1"/>
  <c r="A10026" i="1"/>
  <c r="A10025" i="1"/>
  <c r="A10024" i="1"/>
  <c r="A10023" i="1"/>
  <c r="A10022" i="1"/>
  <c r="A10021" i="1"/>
  <c r="A10020" i="1"/>
  <c r="A10019" i="1"/>
  <c r="A10018" i="1"/>
  <c r="A10017" i="1"/>
  <c r="A10016" i="1"/>
  <c r="A10015" i="1"/>
  <c r="A10014" i="1"/>
  <c r="A10013" i="1"/>
  <c r="A10012" i="1"/>
  <c r="A10011" i="1"/>
  <c r="A10010" i="1"/>
  <c r="A10009" i="1"/>
  <c r="A10008" i="1"/>
  <c r="A10007" i="1"/>
  <c r="A10006" i="1"/>
  <c r="A10005" i="1"/>
  <c r="A10004" i="1"/>
  <c r="A10003" i="1"/>
  <c r="A10002" i="1"/>
  <c r="A10001" i="1"/>
  <c r="A10000" i="1"/>
  <c r="A9999" i="1"/>
  <c r="A9998" i="1"/>
  <c r="A9997" i="1"/>
  <c r="A9996" i="1"/>
  <c r="A9995" i="1"/>
  <c r="A9994" i="1"/>
  <c r="A9993" i="1"/>
  <c r="A9992" i="1"/>
  <c r="A9991" i="1"/>
  <c r="A9990" i="1"/>
  <c r="A9989" i="1"/>
  <c r="A9988" i="1"/>
  <c r="A9987" i="1"/>
  <c r="A9986" i="1"/>
  <c r="A9985" i="1"/>
  <c r="A9984" i="1"/>
  <c r="A9983" i="1"/>
  <c r="A9982" i="1"/>
  <c r="A9981" i="1"/>
  <c r="A9980" i="1"/>
  <c r="A9979" i="1"/>
  <c r="A9978" i="1"/>
  <c r="A9977" i="1"/>
  <c r="A9976" i="1"/>
  <c r="A9975" i="1"/>
  <c r="A9974" i="1"/>
  <c r="A9973" i="1"/>
  <c r="A9972" i="1"/>
  <c r="A9971" i="1"/>
  <c r="A9970" i="1"/>
  <c r="A9969" i="1"/>
  <c r="A9968" i="1"/>
  <c r="A9967" i="1"/>
  <c r="A9966" i="1"/>
  <c r="A9965" i="1"/>
  <c r="A9964" i="1"/>
  <c r="A9963" i="1"/>
  <c r="A9962" i="1"/>
  <c r="A9961" i="1"/>
  <c r="A9960" i="1"/>
  <c r="A9959" i="1"/>
  <c r="A9958" i="1"/>
  <c r="A9957" i="1"/>
  <c r="A9956" i="1"/>
  <c r="A9955" i="1"/>
  <c r="A9954" i="1"/>
  <c r="A9953" i="1"/>
  <c r="A9952" i="1"/>
  <c r="A9951" i="1"/>
  <c r="A9950" i="1"/>
  <c r="A9949" i="1"/>
  <c r="A9948" i="1"/>
  <c r="A9947" i="1"/>
  <c r="A9946" i="1"/>
  <c r="A9945" i="1"/>
  <c r="A9944" i="1"/>
  <c r="A9943" i="1"/>
  <c r="A9942" i="1"/>
  <c r="A9941" i="1"/>
  <c r="A9940" i="1"/>
  <c r="A9939" i="1"/>
  <c r="A9938" i="1"/>
  <c r="A9937" i="1"/>
  <c r="A9936" i="1"/>
  <c r="A9935" i="1"/>
  <c r="A9934" i="1"/>
  <c r="A9933" i="1"/>
  <c r="A9932" i="1"/>
  <c r="A9931" i="1"/>
  <c r="A9930" i="1"/>
  <c r="A9929" i="1"/>
  <c r="A9928" i="1"/>
  <c r="A9927" i="1"/>
  <c r="A9926" i="1"/>
  <c r="A9925" i="1"/>
  <c r="A9924" i="1"/>
  <c r="A9923" i="1"/>
  <c r="A9922" i="1"/>
  <c r="A9921" i="1"/>
  <c r="A9920" i="1"/>
  <c r="A9919" i="1"/>
  <c r="A9918" i="1"/>
  <c r="A9917" i="1"/>
  <c r="A9916" i="1"/>
  <c r="A9915" i="1"/>
  <c r="A9914" i="1"/>
  <c r="A9913" i="1"/>
  <c r="A9912" i="1"/>
  <c r="A9911" i="1"/>
  <c r="A9910" i="1"/>
  <c r="A9909" i="1"/>
  <c r="A9908" i="1"/>
  <c r="A9907" i="1"/>
  <c r="A9906" i="1"/>
  <c r="A9905" i="1"/>
  <c r="A9904" i="1"/>
  <c r="A9903" i="1"/>
  <c r="A9902" i="1"/>
  <c r="A9901" i="1"/>
  <c r="A9900" i="1"/>
  <c r="A9899" i="1"/>
  <c r="A9898" i="1"/>
  <c r="A9897" i="1"/>
  <c r="A9896" i="1"/>
  <c r="A9895" i="1"/>
  <c r="A9894" i="1"/>
  <c r="A9893" i="1"/>
  <c r="A9892" i="1"/>
  <c r="A9891" i="1"/>
  <c r="A9890" i="1"/>
  <c r="A9889" i="1"/>
  <c r="A9888" i="1"/>
  <c r="A9887" i="1"/>
  <c r="A9886" i="1"/>
  <c r="A9885" i="1"/>
  <c r="A9884" i="1"/>
  <c r="A9883" i="1"/>
  <c r="A9882" i="1"/>
  <c r="A9881" i="1"/>
  <c r="A9880" i="1"/>
  <c r="A9879" i="1"/>
  <c r="A9878" i="1"/>
  <c r="A9877" i="1"/>
  <c r="A9876" i="1"/>
  <c r="A9875" i="1"/>
  <c r="A9874" i="1"/>
  <c r="A9873" i="1"/>
  <c r="A9872" i="1"/>
  <c r="A9871" i="1"/>
  <c r="A9870" i="1"/>
  <c r="A9869" i="1"/>
  <c r="A9868" i="1"/>
  <c r="A9867" i="1"/>
  <c r="A9866" i="1"/>
  <c r="A9865" i="1"/>
  <c r="A9864" i="1"/>
  <c r="A9863" i="1"/>
  <c r="A9862" i="1"/>
  <c r="A9861" i="1"/>
  <c r="A9860" i="1"/>
  <c r="A9859" i="1"/>
  <c r="A9858" i="1"/>
  <c r="A9857" i="1"/>
  <c r="A9856" i="1"/>
  <c r="A9855" i="1"/>
  <c r="A9854" i="1"/>
  <c r="A9853" i="1"/>
  <c r="A9852" i="1"/>
  <c r="A9851" i="1"/>
  <c r="A9850" i="1"/>
  <c r="A9849" i="1"/>
  <c r="A9848" i="1"/>
  <c r="A9847" i="1"/>
  <c r="A9846" i="1"/>
  <c r="A9845" i="1"/>
  <c r="A9844" i="1"/>
  <c r="A9843" i="1"/>
  <c r="A9842" i="1"/>
  <c r="A9841" i="1"/>
  <c r="A9840" i="1"/>
  <c r="A9839" i="1"/>
  <c r="A9838" i="1"/>
  <c r="A9837" i="1"/>
  <c r="A9836" i="1"/>
  <c r="A9835" i="1"/>
  <c r="A9834" i="1"/>
  <c r="A9833" i="1"/>
  <c r="A9832" i="1"/>
  <c r="A9831" i="1"/>
  <c r="A9830" i="1"/>
  <c r="A9829" i="1"/>
  <c r="A9828" i="1"/>
  <c r="A9827" i="1"/>
  <c r="A9826" i="1"/>
  <c r="A9825" i="1"/>
  <c r="A9824" i="1"/>
  <c r="A9823" i="1"/>
  <c r="A9822" i="1"/>
  <c r="A9821" i="1"/>
  <c r="A9820" i="1"/>
  <c r="A9819" i="1"/>
  <c r="A9818" i="1"/>
  <c r="A9817" i="1"/>
  <c r="A9816" i="1"/>
  <c r="A9815" i="1"/>
  <c r="A9814" i="1"/>
  <c r="A9813" i="1"/>
  <c r="A9812" i="1"/>
  <c r="A9811" i="1"/>
  <c r="A9810" i="1"/>
  <c r="A9809" i="1"/>
  <c r="A9808" i="1"/>
  <c r="A9807" i="1"/>
  <c r="A9806" i="1"/>
  <c r="A9805" i="1"/>
  <c r="A9804" i="1"/>
  <c r="A9803" i="1"/>
  <c r="A9802" i="1"/>
  <c r="A9801" i="1"/>
  <c r="A9800" i="1"/>
  <c r="A9799" i="1"/>
  <c r="A9798" i="1"/>
  <c r="A9797" i="1"/>
  <c r="A9796" i="1"/>
  <c r="A9795" i="1"/>
  <c r="A9794" i="1"/>
  <c r="A9793" i="1"/>
  <c r="A9792" i="1"/>
  <c r="A9791" i="1"/>
  <c r="A9790" i="1"/>
  <c r="A9789" i="1"/>
  <c r="A9788" i="1"/>
  <c r="A9787" i="1"/>
  <c r="A9786" i="1"/>
  <c r="A9785" i="1"/>
  <c r="A9784" i="1"/>
  <c r="A9783" i="1"/>
  <c r="A9782" i="1"/>
  <c r="A9781" i="1"/>
  <c r="A9780" i="1"/>
  <c r="A9779" i="1"/>
  <c r="A9778" i="1"/>
  <c r="A9777" i="1"/>
  <c r="A9776" i="1"/>
  <c r="A9775" i="1"/>
  <c r="A9774" i="1"/>
  <c r="A9773" i="1"/>
  <c r="A9772" i="1"/>
  <c r="A9771" i="1"/>
  <c r="A9770" i="1"/>
  <c r="A9769" i="1"/>
  <c r="A9768" i="1"/>
  <c r="A9767" i="1"/>
  <c r="A9766" i="1"/>
  <c r="A9765" i="1"/>
  <c r="A9764" i="1"/>
  <c r="A9763" i="1"/>
  <c r="A9762" i="1"/>
  <c r="A9761" i="1"/>
  <c r="A9760" i="1"/>
  <c r="A9759" i="1"/>
  <c r="A9758" i="1"/>
  <c r="A9757" i="1"/>
  <c r="A9756" i="1"/>
  <c r="A9755" i="1"/>
  <c r="A9754" i="1"/>
  <c r="A9753" i="1"/>
  <c r="A9752" i="1"/>
  <c r="A9751" i="1"/>
  <c r="A9750" i="1"/>
  <c r="A9749" i="1"/>
  <c r="A9748" i="1"/>
  <c r="A9747" i="1"/>
  <c r="A9746" i="1"/>
  <c r="A9745" i="1"/>
  <c r="A9744" i="1"/>
  <c r="A9743" i="1"/>
  <c r="A9742" i="1"/>
  <c r="A9741" i="1"/>
  <c r="A9740" i="1"/>
  <c r="A9739" i="1"/>
  <c r="A9738" i="1"/>
  <c r="A9737" i="1"/>
  <c r="A9736" i="1"/>
  <c r="A9735" i="1"/>
  <c r="A9734" i="1"/>
  <c r="A9733" i="1"/>
  <c r="A9732" i="1"/>
  <c r="A9731" i="1"/>
  <c r="A9730" i="1"/>
  <c r="A9729" i="1"/>
  <c r="A9728" i="1"/>
  <c r="A9727" i="1"/>
  <c r="A9726" i="1"/>
  <c r="A9725" i="1"/>
  <c r="A9724" i="1"/>
  <c r="A9723" i="1"/>
  <c r="A9722" i="1"/>
  <c r="A9721" i="1"/>
  <c r="A9720" i="1"/>
  <c r="A9719" i="1"/>
  <c r="A9718" i="1"/>
  <c r="A9717" i="1"/>
  <c r="A9716" i="1"/>
  <c r="A9715" i="1"/>
  <c r="A9714" i="1"/>
  <c r="A9713" i="1"/>
  <c r="A9712" i="1"/>
  <c r="A9711" i="1"/>
  <c r="A9710" i="1"/>
  <c r="A9709" i="1"/>
  <c r="A9708" i="1"/>
  <c r="A9707" i="1"/>
  <c r="A9706" i="1"/>
  <c r="A9705" i="1"/>
  <c r="A9704" i="1"/>
  <c r="A9703" i="1"/>
  <c r="A9702" i="1"/>
  <c r="A9701" i="1"/>
  <c r="A9700" i="1"/>
  <c r="A9699" i="1"/>
  <c r="A9698" i="1"/>
  <c r="A9697" i="1"/>
  <c r="A9696" i="1"/>
  <c r="A9695" i="1"/>
  <c r="A9694" i="1"/>
  <c r="A9693" i="1"/>
  <c r="A9692" i="1"/>
  <c r="A9691" i="1"/>
  <c r="A9690" i="1"/>
  <c r="A9689" i="1"/>
  <c r="A9688" i="1"/>
  <c r="A9687" i="1"/>
  <c r="A9686" i="1"/>
  <c r="A9685" i="1"/>
  <c r="A9684" i="1"/>
  <c r="A9683" i="1"/>
  <c r="A9682" i="1"/>
  <c r="A9681" i="1"/>
  <c r="A9680" i="1"/>
  <c r="A9679" i="1"/>
  <c r="A9678" i="1"/>
  <c r="A9677" i="1"/>
  <c r="A9676" i="1"/>
  <c r="A9675" i="1"/>
  <c r="A9674" i="1"/>
  <c r="A9673" i="1"/>
  <c r="A9672" i="1"/>
  <c r="A9671" i="1"/>
  <c r="A9670" i="1"/>
  <c r="A9669" i="1"/>
  <c r="A9668" i="1"/>
  <c r="A9667" i="1"/>
  <c r="A9666" i="1"/>
  <c r="A9665" i="1"/>
  <c r="A9664" i="1"/>
  <c r="A9663" i="1"/>
  <c r="A9662" i="1"/>
  <c r="A9661" i="1"/>
  <c r="A9660" i="1"/>
  <c r="A9659" i="1"/>
  <c r="A9658" i="1"/>
  <c r="A9657" i="1"/>
  <c r="A9656" i="1"/>
  <c r="A9655" i="1"/>
  <c r="A9654" i="1"/>
  <c r="A9653" i="1"/>
  <c r="A9652" i="1"/>
  <c r="A9651" i="1"/>
  <c r="A9650" i="1"/>
  <c r="A9649" i="1"/>
  <c r="A9648" i="1"/>
  <c r="A9647" i="1"/>
  <c r="A9646" i="1"/>
  <c r="A9645" i="1"/>
  <c r="A9644" i="1"/>
  <c r="A9643" i="1"/>
  <c r="A9642" i="1"/>
  <c r="A9641" i="1"/>
  <c r="A9640" i="1"/>
  <c r="A9639" i="1"/>
  <c r="A9638" i="1"/>
  <c r="A9637" i="1"/>
  <c r="A9636" i="1"/>
  <c r="A9635" i="1"/>
  <c r="A9634" i="1"/>
  <c r="A9633" i="1"/>
  <c r="A9632" i="1"/>
  <c r="A9631" i="1"/>
  <c r="A9630" i="1"/>
  <c r="A9629" i="1"/>
  <c r="A9628" i="1"/>
  <c r="A9627" i="1"/>
  <c r="A9626" i="1"/>
  <c r="A9625" i="1"/>
  <c r="A9624" i="1"/>
  <c r="A9623" i="1"/>
  <c r="A9622" i="1"/>
  <c r="A9621" i="1"/>
  <c r="A9620" i="1"/>
  <c r="A9619" i="1"/>
  <c r="A9618" i="1"/>
  <c r="A9617" i="1"/>
  <c r="A9616" i="1"/>
  <c r="A9615" i="1"/>
  <c r="A9614" i="1"/>
  <c r="A9613" i="1"/>
  <c r="A9612" i="1"/>
  <c r="A9611" i="1"/>
  <c r="A9610" i="1"/>
  <c r="A9609" i="1"/>
  <c r="A9608" i="1"/>
  <c r="A9607" i="1"/>
  <c r="A9606" i="1"/>
  <c r="A9605" i="1"/>
  <c r="A9604" i="1"/>
  <c r="A9603" i="1"/>
  <c r="A9602" i="1"/>
  <c r="A9601" i="1"/>
  <c r="A9600" i="1"/>
  <c r="A9599" i="1"/>
  <c r="A9598" i="1"/>
  <c r="A9597" i="1"/>
  <c r="A9596" i="1"/>
  <c r="A9595" i="1"/>
  <c r="A9594" i="1"/>
  <c r="A9593" i="1"/>
  <c r="A9592" i="1"/>
  <c r="A9591" i="1"/>
  <c r="A9590" i="1"/>
  <c r="A9589" i="1"/>
  <c r="A9588" i="1"/>
  <c r="A9587" i="1"/>
  <c r="A9586" i="1"/>
  <c r="A9585" i="1"/>
  <c r="A9584" i="1"/>
  <c r="A9583" i="1"/>
  <c r="A9582" i="1"/>
  <c r="A9581" i="1"/>
  <c r="A9580" i="1"/>
  <c r="A9579" i="1"/>
  <c r="A9578" i="1"/>
  <c r="A9577" i="1"/>
  <c r="A9576" i="1"/>
  <c r="A9575" i="1"/>
  <c r="A9574" i="1"/>
  <c r="A9573" i="1"/>
  <c r="A9572" i="1"/>
  <c r="A9571" i="1"/>
  <c r="A9570" i="1"/>
  <c r="A9569" i="1"/>
  <c r="A9568" i="1"/>
  <c r="A9567" i="1"/>
  <c r="A9566" i="1"/>
  <c r="A9565" i="1"/>
  <c r="A9564" i="1"/>
  <c r="A9563" i="1"/>
  <c r="A9562" i="1"/>
  <c r="A9561" i="1"/>
  <c r="A9560" i="1"/>
  <c r="A9559" i="1"/>
  <c r="A9558" i="1"/>
  <c r="A9557" i="1"/>
  <c r="A9556" i="1"/>
  <c r="A9555" i="1"/>
  <c r="A9554" i="1"/>
  <c r="A9553" i="1"/>
  <c r="A9552" i="1"/>
  <c r="A9551" i="1"/>
  <c r="A9550" i="1"/>
  <c r="A9549" i="1"/>
  <c r="A9548" i="1"/>
  <c r="A9547" i="1"/>
  <c r="A9546" i="1"/>
  <c r="A9545" i="1"/>
  <c r="A9544" i="1"/>
  <c r="A9543" i="1"/>
  <c r="A9542" i="1"/>
  <c r="A9541" i="1"/>
  <c r="A9540" i="1"/>
  <c r="A9539" i="1"/>
  <c r="A9538" i="1"/>
  <c r="A9537" i="1"/>
  <c r="A9536" i="1"/>
  <c r="A9535" i="1"/>
  <c r="A9534" i="1"/>
  <c r="A9533" i="1"/>
  <c r="A9532" i="1"/>
  <c r="A9531" i="1"/>
  <c r="A9530" i="1"/>
  <c r="A9529" i="1"/>
  <c r="A9528" i="1"/>
  <c r="A9527" i="1"/>
  <c r="A9526" i="1"/>
  <c r="A9525" i="1"/>
  <c r="A9524" i="1"/>
  <c r="A9523" i="1"/>
  <c r="A9522" i="1"/>
  <c r="A9521" i="1"/>
  <c r="A9520" i="1"/>
  <c r="A9519" i="1"/>
  <c r="A9518" i="1"/>
  <c r="A9517" i="1"/>
  <c r="A9516" i="1"/>
  <c r="A9515" i="1"/>
  <c r="A9514" i="1"/>
  <c r="A9513" i="1"/>
  <c r="A9512" i="1"/>
  <c r="A9511" i="1"/>
  <c r="A9510" i="1"/>
  <c r="A9509" i="1"/>
  <c r="A9508" i="1"/>
  <c r="A9507" i="1"/>
  <c r="A9506" i="1"/>
  <c r="A9505" i="1"/>
  <c r="A9504" i="1"/>
  <c r="A9503" i="1"/>
  <c r="A9502" i="1"/>
  <c r="A9501" i="1"/>
  <c r="A9500" i="1"/>
  <c r="A9499" i="1"/>
  <c r="A9498" i="1"/>
  <c r="A9497" i="1"/>
  <c r="A9496" i="1"/>
  <c r="A9495" i="1"/>
  <c r="A9494" i="1"/>
  <c r="A9493" i="1"/>
  <c r="A9492" i="1"/>
  <c r="A9491" i="1"/>
  <c r="A9490" i="1"/>
  <c r="A9489" i="1"/>
  <c r="A9488" i="1"/>
  <c r="A9487" i="1"/>
  <c r="A9486" i="1"/>
  <c r="A9485" i="1"/>
  <c r="A9484" i="1"/>
  <c r="A9483" i="1"/>
  <c r="A9482" i="1"/>
  <c r="A9481" i="1"/>
  <c r="A9480" i="1"/>
  <c r="A9479" i="1"/>
  <c r="A9478" i="1"/>
  <c r="A9477" i="1"/>
  <c r="A9476" i="1"/>
  <c r="A9475" i="1"/>
  <c r="A9474" i="1"/>
  <c r="A9473" i="1"/>
  <c r="A9472" i="1"/>
  <c r="A9471" i="1"/>
  <c r="A9470" i="1"/>
  <c r="A9469" i="1"/>
  <c r="A9468" i="1"/>
  <c r="A9467" i="1"/>
  <c r="A9466" i="1"/>
  <c r="A9465" i="1"/>
  <c r="A9464" i="1"/>
  <c r="A9463" i="1"/>
  <c r="A9462" i="1"/>
  <c r="A9461" i="1"/>
  <c r="A9460" i="1"/>
  <c r="A9459" i="1"/>
  <c r="A9458" i="1"/>
  <c r="A9457" i="1"/>
  <c r="A9456" i="1"/>
  <c r="A9455" i="1"/>
  <c r="A9454" i="1"/>
  <c r="A9453" i="1"/>
  <c r="A9452" i="1"/>
  <c r="A9451" i="1"/>
  <c r="A9450" i="1"/>
  <c r="A9449" i="1"/>
  <c r="A9448" i="1"/>
  <c r="A9447" i="1"/>
  <c r="A9446" i="1"/>
  <c r="A9445" i="1"/>
  <c r="A9444" i="1"/>
  <c r="A9443" i="1"/>
  <c r="A9442" i="1"/>
  <c r="A9441" i="1"/>
  <c r="A9440" i="1"/>
  <c r="A9439" i="1"/>
  <c r="A9438" i="1"/>
  <c r="A9437" i="1"/>
  <c r="A9436" i="1"/>
  <c r="A9435" i="1"/>
  <c r="A9434" i="1"/>
  <c r="A9433" i="1"/>
  <c r="A9432" i="1"/>
  <c r="A9431" i="1"/>
  <c r="A9430" i="1"/>
  <c r="A9429" i="1"/>
  <c r="A9428" i="1"/>
  <c r="A9427" i="1"/>
  <c r="A9426" i="1"/>
  <c r="A9425" i="1"/>
  <c r="A9424" i="1"/>
  <c r="A9423" i="1"/>
  <c r="A9422" i="1"/>
  <c r="A9421" i="1"/>
  <c r="A9420" i="1"/>
  <c r="A9419" i="1"/>
  <c r="A9418" i="1"/>
  <c r="A9417" i="1"/>
  <c r="A9416" i="1"/>
  <c r="A9415" i="1"/>
  <c r="A9414" i="1"/>
  <c r="A9413" i="1"/>
  <c r="A9412" i="1"/>
  <c r="A9411" i="1"/>
  <c r="A9410" i="1"/>
  <c r="A9409" i="1"/>
  <c r="A9408" i="1"/>
  <c r="A9407" i="1"/>
  <c r="A9406" i="1"/>
  <c r="A9405" i="1"/>
  <c r="A9404" i="1"/>
  <c r="A9403" i="1"/>
  <c r="A9402" i="1"/>
  <c r="A9401" i="1"/>
  <c r="A9400" i="1"/>
  <c r="A9399" i="1"/>
  <c r="A9398" i="1"/>
  <c r="A9397" i="1"/>
  <c r="A9396" i="1"/>
  <c r="A9395" i="1"/>
  <c r="A9394" i="1"/>
  <c r="A9393" i="1"/>
  <c r="A9392" i="1"/>
  <c r="A9391" i="1"/>
  <c r="A9390" i="1"/>
  <c r="A9389" i="1"/>
  <c r="A9388" i="1"/>
  <c r="A9387" i="1"/>
  <c r="A9386" i="1"/>
  <c r="A9385" i="1"/>
  <c r="A9384" i="1"/>
  <c r="A9383" i="1"/>
  <c r="A9382" i="1"/>
  <c r="A9381" i="1"/>
  <c r="A9380" i="1"/>
  <c r="A9379" i="1"/>
  <c r="A9378" i="1"/>
  <c r="A9377" i="1"/>
  <c r="A9376" i="1"/>
  <c r="A9375" i="1"/>
  <c r="A9374" i="1"/>
  <c r="A9373" i="1"/>
  <c r="A9372" i="1"/>
  <c r="A9371" i="1"/>
  <c r="A9370" i="1"/>
  <c r="A9369" i="1"/>
  <c r="A9368" i="1"/>
  <c r="A9367" i="1"/>
  <c r="A9366" i="1"/>
  <c r="A9365" i="1"/>
  <c r="A9364" i="1"/>
  <c r="A9363" i="1"/>
  <c r="A9362" i="1"/>
  <c r="A9361" i="1"/>
  <c r="A9360" i="1"/>
  <c r="A9359" i="1"/>
  <c r="A9358" i="1"/>
  <c r="A9357" i="1"/>
  <c r="A9356" i="1"/>
  <c r="A9355" i="1"/>
  <c r="A9354" i="1"/>
  <c r="A9353" i="1"/>
  <c r="A9352" i="1"/>
  <c r="A9351" i="1"/>
  <c r="A9350" i="1"/>
  <c r="A9349" i="1"/>
  <c r="A9348" i="1"/>
  <c r="A9347" i="1"/>
  <c r="A9346" i="1"/>
  <c r="A9345" i="1"/>
  <c r="A9344" i="1"/>
  <c r="A9343" i="1"/>
  <c r="A9342" i="1"/>
  <c r="A9341" i="1"/>
  <c r="A9340" i="1"/>
  <c r="A9339" i="1"/>
  <c r="A9338" i="1"/>
  <c r="A9337" i="1"/>
  <c r="A9336" i="1"/>
  <c r="A9335" i="1"/>
  <c r="A9334" i="1"/>
  <c r="A9333" i="1"/>
  <c r="A9332" i="1"/>
  <c r="A9331" i="1"/>
  <c r="A9330" i="1"/>
  <c r="A9329" i="1"/>
  <c r="A9328" i="1"/>
  <c r="A9327" i="1"/>
  <c r="A9326" i="1"/>
  <c r="A9325" i="1"/>
  <c r="A9324" i="1"/>
  <c r="A9323" i="1"/>
  <c r="A9322" i="1"/>
  <c r="A9321" i="1"/>
  <c r="A9320" i="1"/>
  <c r="A9319" i="1"/>
  <c r="A9318" i="1"/>
  <c r="A9317" i="1"/>
  <c r="A9316" i="1"/>
  <c r="A9315" i="1"/>
  <c r="A9314" i="1"/>
  <c r="A9313" i="1"/>
  <c r="A9312" i="1"/>
  <c r="A9311" i="1"/>
  <c r="A9310" i="1"/>
  <c r="A9309" i="1"/>
  <c r="A9308" i="1"/>
  <c r="A9307" i="1"/>
  <c r="A9306" i="1"/>
  <c r="A9305" i="1"/>
  <c r="A9304" i="1"/>
  <c r="A9303" i="1"/>
  <c r="A9302" i="1"/>
  <c r="A9301" i="1"/>
  <c r="A9300" i="1"/>
  <c r="A9299" i="1"/>
  <c r="A9298" i="1"/>
  <c r="A9297" i="1"/>
  <c r="A9296" i="1"/>
  <c r="A9295" i="1"/>
  <c r="A9294" i="1"/>
  <c r="A9293" i="1"/>
  <c r="A9292" i="1"/>
  <c r="A9291" i="1"/>
  <c r="A9290" i="1"/>
  <c r="A9289" i="1"/>
  <c r="A9288" i="1"/>
  <c r="A9287" i="1"/>
  <c r="A9286" i="1"/>
  <c r="A9285" i="1"/>
  <c r="A9284" i="1"/>
  <c r="A9283" i="1"/>
  <c r="A9282" i="1"/>
  <c r="A9281" i="1"/>
  <c r="A9280" i="1"/>
  <c r="A9279" i="1"/>
  <c r="A9278" i="1"/>
  <c r="A9277" i="1"/>
  <c r="A9276" i="1"/>
  <c r="A9275" i="1"/>
  <c r="A9274" i="1"/>
  <c r="A9273" i="1"/>
  <c r="A9272" i="1"/>
  <c r="A9271" i="1"/>
  <c r="A9270" i="1"/>
  <c r="A9269" i="1"/>
  <c r="A9268" i="1"/>
  <c r="A9267" i="1"/>
  <c r="A9266" i="1"/>
  <c r="A9265" i="1"/>
  <c r="A9264" i="1"/>
  <c r="A9263" i="1"/>
  <c r="A9262" i="1"/>
  <c r="A9261" i="1"/>
  <c r="A9260" i="1"/>
  <c r="A9259" i="1"/>
  <c r="A9258" i="1"/>
  <c r="A9257" i="1"/>
  <c r="A9256" i="1"/>
  <c r="A9255" i="1"/>
  <c r="A9254" i="1"/>
  <c r="A9253" i="1"/>
  <c r="A9252" i="1"/>
  <c r="A9251" i="1"/>
  <c r="A9250" i="1"/>
  <c r="A9249" i="1"/>
  <c r="A9248" i="1"/>
  <c r="A9247" i="1"/>
  <c r="A9246" i="1"/>
  <c r="A9245" i="1"/>
  <c r="A9244" i="1"/>
  <c r="A9243" i="1"/>
  <c r="A9242" i="1"/>
  <c r="A9241" i="1"/>
  <c r="A9240" i="1"/>
  <c r="A9239" i="1"/>
  <c r="A9238" i="1"/>
  <c r="A9237" i="1"/>
  <c r="A9236" i="1"/>
  <c r="A9235" i="1"/>
  <c r="A9234" i="1"/>
  <c r="A9233" i="1"/>
  <c r="A9232" i="1"/>
  <c r="A9231" i="1"/>
  <c r="A9230" i="1"/>
  <c r="A9229" i="1"/>
  <c r="A9228" i="1"/>
  <c r="A9227" i="1"/>
  <c r="A9226" i="1"/>
  <c r="A9225" i="1"/>
  <c r="A9224" i="1"/>
  <c r="A9223" i="1"/>
  <c r="A9222" i="1"/>
  <c r="A9221" i="1"/>
  <c r="A9220" i="1"/>
  <c r="A9219" i="1"/>
  <c r="A9218" i="1"/>
  <c r="A9217" i="1"/>
  <c r="A9216" i="1"/>
  <c r="A9215" i="1"/>
  <c r="A9214" i="1"/>
  <c r="A9213" i="1"/>
  <c r="A9212" i="1"/>
  <c r="A9211" i="1"/>
  <c r="A9210" i="1"/>
  <c r="A9209" i="1"/>
  <c r="A9208" i="1"/>
  <c r="A9207" i="1"/>
  <c r="A9206" i="1"/>
  <c r="A9205" i="1"/>
  <c r="A9204" i="1"/>
  <c r="A9203" i="1"/>
  <c r="A9202" i="1"/>
  <c r="A9201" i="1"/>
  <c r="A9200" i="1"/>
  <c r="A9199" i="1"/>
  <c r="A9198" i="1"/>
  <c r="A9197" i="1"/>
  <c r="A9196" i="1"/>
  <c r="A9195" i="1"/>
  <c r="A9194" i="1"/>
  <c r="A9193" i="1"/>
  <c r="A9192" i="1"/>
  <c r="A9191" i="1"/>
  <c r="A9190" i="1"/>
  <c r="A9189" i="1"/>
  <c r="A9188" i="1"/>
  <c r="A9187" i="1"/>
  <c r="A9186" i="1"/>
  <c r="A9185" i="1"/>
  <c r="A9184" i="1"/>
  <c r="A9183" i="1"/>
  <c r="A9182" i="1"/>
  <c r="A9181" i="1"/>
  <c r="A9180" i="1"/>
  <c r="A9179" i="1"/>
  <c r="A9178" i="1"/>
  <c r="A9177" i="1"/>
  <c r="A9176" i="1"/>
  <c r="A9175" i="1"/>
  <c r="A9174" i="1"/>
  <c r="A9173" i="1"/>
  <c r="A9172" i="1"/>
  <c r="A9171" i="1"/>
  <c r="A9170" i="1"/>
  <c r="A9169" i="1"/>
  <c r="A9168" i="1"/>
  <c r="A9167" i="1"/>
  <c r="A9166" i="1"/>
  <c r="A9165" i="1"/>
  <c r="A9164" i="1"/>
  <c r="A9163" i="1"/>
  <c r="A9162" i="1"/>
  <c r="A9161" i="1"/>
  <c r="A9160" i="1"/>
  <c r="A9159" i="1"/>
  <c r="A9158" i="1"/>
  <c r="A9157" i="1"/>
  <c r="A9156" i="1"/>
  <c r="A9155" i="1"/>
  <c r="A9154" i="1"/>
  <c r="A9153" i="1"/>
  <c r="A9152" i="1"/>
  <c r="A9151" i="1"/>
  <c r="A9150" i="1"/>
  <c r="A9149" i="1"/>
  <c r="A9148" i="1"/>
  <c r="A9147" i="1"/>
  <c r="A9146" i="1"/>
  <c r="A9145" i="1"/>
  <c r="A9144" i="1"/>
  <c r="A9143" i="1"/>
  <c r="A9142" i="1"/>
  <c r="A9141" i="1"/>
  <c r="A9140" i="1"/>
  <c r="A9139" i="1"/>
  <c r="A9138" i="1"/>
  <c r="A9137" i="1"/>
  <c r="A9136" i="1"/>
  <c r="A9135" i="1"/>
  <c r="A9134" i="1"/>
  <c r="A9133" i="1"/>
  <c r="A9132" i="1"/>
  <c r="A9131" i="1"/>
  <c r="A9130" i="1"/>
  <c r="A9129" i="1"/>
  <c r="A9128" i="1"/>
  <c r="A9127" i="1"/>
  <c r="A9126" i="1"/>
  <c r="A9125" i="1"/>
  <c r="A9124" i="1"/>
  <c r="A9123" i="1"/>
  <c r="A9122" i="1"/>
  <c r="A9121" i="1"/>
  <c r="A9120" i="1"/>
  <c r="A9119" i="1"/>
  <c r="A9118" i="1"/>
  <c r="A9117" i="1"/>
  <c r="A9116" i="1"/>
  <c r="A9115" i="1"/>
  <c r="A9114" i="1"/>
  <c r="A9113" i="1"/>
  <c r="A9112" i="1"/>
  <c r="A9111" i="1"/>
  <c r="A9110" i="1"/>
  <c r="A9109" i="1"/>
  <c r="A9108" i="1"/>
  <c r="A9107" i="1"/>
  <c r="A9106" i="1"/>
  <c r="A9105" i="1"/>
  <c r="A9104" i="1"/>
  <c r="A9103" i="1"/>
  <c r="A9102" i="1"/>
  <c r="A9101" i="1"/>
  <c r="A9100" i="1"/>
  <c r="A9099" i="1"/>
  <c r="A9098" i="1"/>
  <c r="A9097" i="1"/>
  <c r="A9096" i="1"/>
  <c r="A9095" i="1"/>
  <c r="A9094" i="1"/>
  <c r="A9093" i="1"/>
  <c r="A9092" i="1"/>
  <c r="A9091" i="1"/>
  <c r="A9090" i="1"/>
  <c r="A9089" i="1"/>
  <c r="A9088" i="1"/>
  <c r="A9087" i="1"/>
  <c r="A9086" i="1"/>
  <c r="A9085" i="1"/>
  <c r="A9084" i="1"/>
  <c r="A9083" i="1"/>
  <c r="A9082" i="1"/>
  <c r="A9081" i="1"/>
  <c r="A9080" i="1"/>
  <c r="A9079" i="1"/>
  <c r="A9078" i="1"/>
  <c r="A9077" i="1"/>
  <c r="A9076" i="1"/>
  <c r="A9075" i="1"/>
  <c r="A9074" i="1"/>
  <c r="A9073" i="1"/>
  <c r="A9072" i="1"/>
  <c r="A9071" i="1"/>
  <c r="A9070" i="1"/>
  <c r="A9069" i="1"/>
  <c r="A9068" i="1"/>
  <c r="A9067" i="1"/>
  <c r="A9066" i="1"/>
  <c r="A9065" i="1"/>
  <c r="A9064" i="1"/>
  <c r="A9063" i="1"/>
  <c r="A9062" i="1"/>
  <c r="A9061" i="1"/>
  <c r="A9060" i="1"/>
  <c r="A9059" i="1"/>
  <c r="A9058" i="1"/>
  <c r="A9057" i="1"/>
  <c r="A9056" i="1"/>
  <c r="A9055" i="1"/>
  <c r="A9054" i="1"/>
  <c r="A9053" i="1"/>
  <c r="A9052" i="1"/>
  <c r="A9051" i="1"/>
  <c r="A9050" i="1"/>
  <c r="A9049" i="1"/>
  <c r="A9048" i="1"/>
  <c r="A9047" i="1"/>
  <c r="A9046" i="1"/>
  <c r="A9045" i="1"/>
  <c r="A9044" i="1"/>
  <c r="A9043" i="1"/>
  <c r="A9042" i="1"/>
  <c r="A9041" i="1"/>
  <c r="A9040" i="1"/>
  <c r="A9039" i="1"/>
  <c r="A9038" i="1"/>
  <c r="A9037" i="1"/>
  <c r="A9036" i="1"/>
  <c r="A9035" i="1"/>
  <c r="A9034" i="1"/>
  <c r="A9033" i="1"/>
  <c r="A9032" i="1"/>
  <c r="A9031" i="1"/>
  <c r="A9030" i="1"/>
  <c r="A9029" i="1"/>
  <c r="A9028" i="1"/>
  <c r="A9027" i="1"/>
  <c r="A9026" i="1"/>
  <c r="A9025" i="1"/>
  <c r="A9024" i="1"/>
  <c r="A9023" i="1"/>
  <c r="A9022" i="1"/>
  <c r="A9021" i="1"/>
  <c r="A9020" i="1"/>
  <c r="A9019" i="1"/>
  <c r="A9018" i="1"/>
  <c r="A9017" i="1"/>
  <c r="A9016" i="1"/>
  <c r="A9015" i="1"/>
  <c r="A9014" i="1"/>
  <c r="A9013" i="1"/>
  <c r="A9012" i="1"/>
  <c r="A9011" i="1"/>
  <c r="A9010" i="1"/>
  <c r="A9009" i="1"/>
  <c r="A9008" i="1"/>
  <c r="A9007" i="1"/>
  <c r="A9006" i="1"/>
  <c r="A9005" i="1"/>
  <c r="A9004" i="1"/>
  <c r="A9003" i="1"/>
  <c r="A9002" i="1"/>
  <c r="A9001" i="1"/>
  <c r="A9000" i="1"/>
  <c r="A8999" i="1"/>
  <c r="A8998" i="1"/>
  <c r="A8997" i="1"/>
  <c r="A8996" i="1"/>
  <c r="A8995" i="1"/>
  <c r="A8994" i="1"/>
  <c r="A8993" i="1"/>
  <c r="A8992" i="1"/>
  <c r="A8991" i="1"/>
  <c r="A8990" i="1"/>
  <c r="A8989" i="1"/>
  <c r="A8988" i="1"/>
  <c r="A8987" i="1"/>
  <c r="A8986" i="1"/>
  <c r="A8985" i="1"/>
  <c r="A8984" i="1"/>
  <c r="A8983" i="1"/>
  <c r="A8982" i="1"/>
  <c r="A8981" i="1"/>
  <c r="A8980" i="1"/>
  <c r="A8979" i="1"/>
  <c r="A8978" i="1"/>
  <c r="A8977" i="1"/>
  <c r="A8976" i="1"/>
  <c r="A8975" i="1"/>
  <c r="A8974" i="1"/>
  <c r="A8973" i="1"/>
  <c r="A8972" i="1"/>
  <c r="A8971" i="1"/>
  <c r="A8970" i="1"/>
  <c r="A8969" i="1"/>
  <c r="A8968" i="1"/>
  <c r="A8967" i="1"/>
  <c r="A8966" i="1"/>
  <c r="A8965" i="1"/>
  <c r="A8964" i="1"/>
  <c r="A8963" i="1"/>
  <c r="A8962" i="1"/>
  <c r="A8961" i="1"/>
  <c r="A8960" i="1"/>
  <c r="A8959" i="1"/>
  <c r="A8958" i="1"/>
  <c r="A8957" i="1"/>
  <c r="A8956" i="1"/>
  <c r="A8955" i="1"/>
  <c r="A8954" i="1"/>
  <c r="A8953" i="1"/>
  <c r="A8952" i="1"/>
  <c r="A8951" i="1"/>
  <c r="A8950" i="1"/>
  <c r="A8949" i="1"/>
  <c r="A8948" i="1"/>
  <c r="A8947" i="1"/>
  <c r="A8946" i="1"/>
  <c r="A8945" i="1"/>
  <c r="A8944" i="1"/>
  <c r="A8943" i="1"/>
  <c r="A8942" i="1"/>
  <c r="A8941" i="1"/>
  <c r="A8940" i="1"/>
  <c r="A8939" i="1"/>
  <c r="A8938" i="1"/>
  <c r="A8937" i="1"/>
  <c r="A8936" i="1"/>
  <c r="A8935" i="1"/>
  <c r="A8934" i="1"/>
  <c r="A8933" i="1"/>
  <c r="A8932" i="1"/>
  <c r="A8931" i="1"/>
  <c r="A8930" i="1"/>
  <c r="A8929" i="1"/>
  <c r="A8928" i="1"/>
  <c r="A8927" i="1"/>
  <c r="A8926" i="1"/>
  <c r="A8925" i="1"/>
  <c r="A8924" i="1"/>
  <c r="A8923" i="1"/>
  <c r="A8922" i="1"/>
  <c r="A8921" i="1"/>
  <c r="A8920" i="1"/>
  <c r="A8919" i="1"/>
  <c r="A8918" i="1"/>
  <c r="A8917" i="1"/>
  <c r="A8916" i="1"/>
  <c r="A8915" i="1"/>
  <c r="A8914" i="1"/>
  <c r="A8913" i="1"/>
  <c r="A8912" i="1"/>
  <c r="A8911" i="1"/>
  <c r="A8910" i="1"/>
  <c r="A8909" i="1"/>
  <c r="A8908" i="1"/>
  <c r="A8907" i="1"/>
  <c r="A8906" i="1"/>
  <c r="A8905" i="1"/>
  <c r="A8904" i="1"/>
  <c r="A8903" i="1"/>
  <c r="A8902" i="1"/>
  <c r="A8901" i="1"/>
  <c r="A8900" i="1"/>
  <c r="A8899" i="1"/>
  <c r="A8898" i="1"/>
  <c r="A8897" i="1"/>
  <c r="A8896" i="1"/>
  <c r="A8895" i="1"/>
  <c r="A8894" i="1"/>
  <c r="A8893" i="1"/>
  <c r="A8892" i="1"/>
  <c r="A8891" i="1"/>
  <c r="A8890" i="1"/>
  <c r="A8889" i="1"/>
  <c r="A8888" i="1"/>
  <c r="A8887" i="1"/>
  <c r="A8886" i="1"/>
  <c r="A8885" i="1"/>
  <c r="A8884" i="1"/>
  <c r="A8883" i="1"/>
  <c r="A8882" i="1"/>
  <c r="A8881" i="1"/>
  <c r="A8880" i="1"/>
  <c r="A8879" i="1"/>
  <c r="A8878" i="1"/>
  <c r="A8877" i="1"/>
  <c r="A8876" i="1"/>
  <c r="A8875" i="1"/>
  <c r="A8874" i="1"/>
  <c r="A8873" i="1"/>
  <c r="A8872" i="1"/>
  <c r="A8871" i="1"/>
  <c r="A8870" i="1"/>
  <c r="A8869" i="1"/>
  <c r="A8868" i="1"/>
  <c r="A8867" i="1"/>
  <c r="A8866" i="1"/>
  <c r="A8865" i="1"/>
  <c r="A8864" i="1"/>
  <c r="A8863" i="1"/>
  <c r="A8862" i="1"/>
  <c r="A8861" i="1"/>
  <c r="A8860" i="1"/>
  <c r="A8859" i="1"/>
  <c r="A8858" i="1"/>
  <c r="A8857" i="1"/>
  <c r="A8856" i="1"/>
  <c r="A8855" i="1"/>
  <c r="A8854" i="1"/>
  <c r="A8853" i="1"/>
  <c r="A8852" i="1"/>
  <c r="A8851" i="1"/>
  <c r="A8850" i="1"/>
  <c r="A8849" i="1"/>
  <c r="A8848" i="1"/>
  <c r="A8847" i="1"/>
  <c r="A8846" i="1"/>
  <c r="A8845" i="1"/>
  <c r="A8844" i="1"/>
  <c r="A8843" i="1"/>
  <c r="A8842" i="1"/>
  <c r="A8841" i="1"/>
  <c r="A8840" i="1"/>
  <c r="A8839" i="1"/>
  <c r="A8838" i="1"/>
  <c r="A8837" i="1"/>
  <c r="A8836" i="1"/>
  <c r="A8835" i="1"/>
  <c r="A8834" i="1"/>
  <c r="A8833" i="1"/>
  <c r="A8832" i="1"/>
  <c r="A8831" i="1"/>
  <c r="A8830" i="1"/>
  <c r="A8829" i="1"/>
  <c r="A8828" i="1"/>
  <c r="A8827" i="1"/>
  <c r="A8826" i="1"/>
  <c r="A8825" i="1"/>
  <c r="A8824" i="1"/>
  <c r="A8823" i="1"/>
  <c r="A8822" i="1"/>
  <c r="A8821" i="1"/>
  <c r="A8820" i="1"/>
  <c r="A8819" i="1"/>
  <c r="A8818" i="1"/>
  <c r="A8817" i="1"/>
  <c r="A8816" i="1"/>
  <c r="A8815" i="1"/>
  <c r="A8814" i="1"/>
  <c r="A8813" i="1"/>
  <c r="A8812" i="1"/>
  <c r="A8811" i="1"/>
  <c r="A8810" i="1"/>
  <c r="A8809" i="1"/>
  <c r="A8808" i="1"/>
  <c r="A8807" i="1"/>
  <c r="A8806" i="1"/>
  <c r="A8805" i="1"/>
  <c r="A8804" i="1"/>
  <c r="A8803" i="1"/>
  <c r="A8802" i="1"/>
  <c r="A8801" i="1"/>
  <c r="A8800" i="1"/>
  <c r="A8799" i="1"/>
  <c r="A8798" i="1"/>
  <c r="A8797" i="1"/>
  <c r="A8796" i="1"/>
  <c r="A8795" i="1"/>
  <c r="A8794" i="1"/>
  <c r="A8793" i="1"/>
  <c r="A8792" i="1"/>
  <c r="A8791" i="1"/>
  <c r="A8790" i="1"/>
  <c r="A8789" i="1"/>
  <c r="A8788" i="1"/>
  <c r="A8787" i="1"/>
  <c r="A8786" i="1"/>
  <c r="A8785" i="1"/>
  <c r="A8784" i="1"/>
  <c r="A8783" i="1"/>
  <c r="A8782" i="1"/>
  <c r="A8781" i="1"/>
  <c r="A8780" i="1"/>
  <c r="A8779" i="1"/>
  <c r="A8778" i="1"/>
  <c r="A8777" i="1"/>
  <c r="A8776" i="1"/>
  <c r="A8775" i="1"/>
  <c r="A8774" i="1"/>
  <c r="A8773" i="1"/>
  <c r="A8772" i="1"/>
  <c r="A8771" i="1"/>
  <c r="A8770" i="1"/>
  <c r="A8769" i="1"/>
  <c r="A8768" i="1"/>
  <c r="A8767" i="1"/>
  <c r="A8766" i="1"/>
  <c r="A8765" i="1"/>
  <c r="A8764" i="1"/>
  <c r="A8763" i="1"/>
  <c r="A8762" i="1"/>
  <c r="A8761" i="1"/>
  <c r="A8760" i="1"/>
  <c r="A8759" i="1"/>
  <c r="A8758" i="1"/>
  <c r="A8757" i="1"/>
  <c r="A8756" i="1"/>
  <c r="A8755" i="1"/>
  <c r="A8754" i="1"/>
  <c r="A8753" i="1"/>
  <c r="A8752" i="1"/>
  <c r="A8751" i="1"/>
  <c r="A8750" i="1"/>
  <c r="A8749" i="1"/>
  <c r="A8748" i="1"/>
  <c r="A8747" i="1"/>
  <c r="A8746" i="1"/>
  <c r="A8745" i="1"/>
  <c r="A8744" i="1"/>
  <c r="A8743" i="1"/>
  <c r="A8742" i="1"/>
  <c r="A8741" i="1"/>
  <c r="A8740" i="1"/>
  <c r="A8739" i="1"/>
  <c r="A8738" i="1"/>
  <c r="A8737" i="1"/>
  <c r="A8736" i="1"/>
  <c r="A8735" i="1"/>
  <c r="A8734" i="1"/>
  <c r="A8733" i="1"/>
  <c r="A8732" i="1"/>
  <c r="A8731" i="1"/>
  <c r="A8730" i="1"/>
  <c r="A8729" i="1"/>
  <c r="A8728" i="1"/>
  <c r="A8727" i="1"/>
  <c r="A8726" i="1"/>
  <c r="A8725" i="1"/>
  <c r="A8724" i="1"/>
  <c r="A8723" i="1"/>
  <c r="A8722" i="1"/>
  <c r="A8721" i="1"/>
  <c r="A8720" i="1"/>
  <c r="A8719" i="1"/>
  <c r="A8718" i="1"/>
  <c r="A8717" i="1"/>
  <c r="A8716" i="1"/>
  <c r="A8715" i="1"/>
  <c r="A8714" i="1"/>
  <c r="A8713" i="1"/>
  <c r="A8712" i="1"/>
  <c r="A8711" i="1"/>
  <c r="A8710" i="1"/>
  <c r="A8709" i="1"/>
  <c r="A8708" i="1"/>
  <c r="A8707" i="1"/>
  <c r="A8706" i="1"/>
  <c r="A8705" i="1"/>
  <c r="A8704" i="1"/>
  <c r="A8703" i="1"/>
  <c r="A8702" i="1"/>
  <c r="A8701" i="1"/>
  <c r="A8700" i="1"/>
  <c r="A8699" i="1"/>
  <c r="A8698" i="1"/>
  <c r="A8697" i="1"/>
  <c r="A8696" i="1"/>
  <c r="A8695" i="1"/>
  <c r="A8694" i="1"/>
  <c r="A8693" i="1"/>
  <c r="A8692" i="1"/>
  <c r="A8691" i="1"/>
  <c r="A8690" i="1"/>
  <c r="A8689" i="1"/>
  <c r="A8688" i="1"/>
  <c r="A8687" i="1"/>
  <c r="A8686" i="1"/>
  <c r="A8685" i="1"/>
  <c r="A8684" i="1"/>
  <c r="A8683" i="1"/>
  <c r="A8682" i="1"/>
  <c r="A8681" i="1"/>
  <c r="A8680" i="1"/>
  <c r="A8679" i="1"/>
  <c r="A8678" i="1"/>
  <c r="A8677" i="1"/>
  <c r="A8676" i="1"/>
  <c r="A8675" i="1"/>
  <c r="A8674" i="1"/>
  <c r="A8673" i="1"/>
  <c r="A8672" i="1"/>
  <c r="A8671" i="1"/>
  <c r="A8670" i="1"/>
  <c r="A8669" i="1"/>
  <c r="A8668" i="1"/>
  <c r="A8667" i="1"/>
  <c r="A8666" i="1"/>
  <c r="A8665" i="1"/>
  <c r="A8664" i="1"/>
  <c r="A8663" i="1"/>
  <c r="A8662" i="1"/>
  <c r="A8661" i="1"/>
  <c r="A8660" i="1"/>
  <c r="A8659" i="1"/>
  <c r="A8658" i="1"/>
  <c r="A8657" i="1"/>
  <c r="A8656" i="1"/>
  <c r="A8655" i="1"/>
  <c r="A8654" i="1"/>
  <c r="A8653" i="1"/>
  <c r="A8652" i="1"/>
  <c r="A8651" i="1"/>
  <c r="A8650" i="1"/>
  <c r="A8649" i="1"/>
  <c r="A8648" i="1"/>
  <c r="A8647" i="1"/>
  <c r="A8646" i="1"/>
  <c r="A8645" i="1"/>
  <c r="A8644" i="1"/>
  <c r="A8643" i="1"/>
  <c r="A8642" i="1"/>
  <c r="A8641" i="1"/>
  <c r="A8640" i="1"/>
  <c r="A8639" i="1"/>
  <c r="A8638" i="1"/>
  <c r="A8637" i="1"/>
  <c r="A8636" i="1"/>
  <c r="A8635" i="1"/>
  <c r="A8634" i="1"/>
  <c r="A8633" i="1"/>
  <c r="A8632" i="1"/>
  <c r="A8631" i="1"/>
  <c r="A8630" i="1"/>
  <c r="A8629" i="1"/>
  <c r="A8628" i="1"/>
  <c r="A8627" i="1"/>
  <c r="A8626" i="1"/>
  <c r="A8625" i="1"/>
  <c r="A8624" i="1"/>
  <c r="A8623" i="1"/>
  <c r="A8622" i="1"/>
  <c r="A8621" i="1"/>
  <c r="A8620" i="1"/>
  <c r="A8619" i="1"/>
  <c r="A8618" i="1"/>
  <c r="A8617" i="1"/>
  <c r="A8616" i="1"/>
  <c r="A8615" i="1"/>
  <c r="A8614" i="1"/>
  <c r="A8613" i="1"/>
  <c r="A8612" i="1"/>
  <c r="A8611" i="1"/>
  <c r="A8610" i="1"/>
  <c r="A8609" i="1"/>
  <c r="A8608" i="1"/>
  <c r="A8607" i="1"/>
  <c r="A8606" i="1"/>
  <c r="A8605" i="1"/>
  <c r="A8604" i="1"/>
  <c r="A8603" i="1"/>
  <c r="A8602" i="1"/>
  <c r="A8601" i="1"/>
  <c r="A8600" i="1"/>
  <c r="A8599" i="1"/>
  <c r="A8598" i="1"/>
  <c r="A8597" i="1"/>
  <c r="A8596" i="1"/>
  <c r="A8595" i="1"/>
  <c r="A8594" i="1"/>
  <c r="A8593" i="1"/>
  <c r="A8592" i="1"/>
  <c r="A8591" i="1"/>
  <c r="A8590" i="1"/>
  <c r="A8589" i="1"/>
  <c r="A8588" i="1"/>
  <c r="A8587" i="1"/>
  <c r="A8586" i="1"/>
  <c r="A8585" i="1"/>
  <c r="A8584" i="1"/>
  <c r="A8583" i="1"/>
  <c r="A8582" i="1"/>
  <c r="A8581" i="1"/>
  <c r="A8580" i="1"/>
  <c r="A8579" i="1"/>
  <c r="A8578" i="1"/>
  <c r="A8577" i="1"/>
  <c r="A8576" i="1"/>
  <c r="A8575" i="1"/>
  <c r="A8574" i="1"/>
  <c r="A8573" i="1"/>
  <c r="A8572" i="1"/>
  <c r="A8571" i="1"/>
  <c r="A8570" i="1"/>
  <c r="A8569" i="1"/>
  <c r="A8568" i="1"/>
  <c r="A8567" i="1"/>
  <c r="A8566" i="1"/>
  <c r="A8565" i="1"/>
  <c r="A8564" i="1"/>
  <c r="A8563" i="1"/>
  <c r="A8562" i="1"/>
  <c r="A8561" i="1"/>
  <c r="A8560" i="1"/>
  <c r="A8559" i="1"/>
  <c r="A8558" i="1"/>
  <c r="A8557" i="1"/>
  <c r="A8556" i="1"/>
  <c r="A8555" i="1"/>
  <c r="A8554" i="1"/>
  <c r="A8553" i="1"/>
  <c r="A8552" i="1"/>
  <c r="A8551" i="1"/>
  <c r="A8550" i="1"/>
  <c r="A8549" i="1"/>
  <c r="A8548" i="1"/>
  <c r="A8547" i="1"/>
  <c r="A8546" i="1"/>
  <c r="A8545" i="1"/>
  <c r="A8544" i="1"/>
  <c r="A8543" i="1"/>
  <c r="A8542" i="1"/>
  <c r="A8541" i="1"/>
  <c r="A8540" i="1"/>
  <c r="A8539" i="1"/>
  <c r="A8538" i="1"/>
  <c r="A8537" i="1"/>
  <c r="A8536" i="1"/>
  <c r="A8535" i="1"/>
  <c r="A8534" i="1"/>
  <c r="A8533" i="1"/>
  <c r="A8532" i="1"/>
  <c r="A8531" i="1"/>
  <c r="A8530" i="1"/>
  <c r="A8529" i="1"/>
  <c r="A8528" i="1"/>
  <c r="A8527" i="1"/>
  <c r="A8526" i="1"/>
  <c r="A8525" i="1"/>
  <c r="A8524" i="1"/>
  <c r="A8523" i="1"/>
  <c r="A8522" i="1"/>
  <c r="A8521" i="1"/>
  <c r="A8520" i="1"/>
  <c r="A8519" i="1"/>
  <c r="A8518" i="1"/>
  <c r="A8517" i="1"/>
  <c r="A8516" i="1"/>
  <c r="A8515" i="1"/>
  <c r="A8514" i="1"/>
  <c r="A8513" i="1"/>
  <c r="A8512" i="1"/>
  <c r="A8511" i="1"/>
  <c r="A8510" i="1"/>
  <c r="A8509" i="1"/>
  <c r="A8508" i="1"/>
  <c r="A8507" i="1"/>
  <c r="A8506" i="1"/>
  <c r="A8505" i="1"/>
  <c r="A8504" i="1"/>
  <c r="A8503" i="1"/>
  <c r="A8502" i="1"/>
  <c r="A8501" i="1"/>
  <c r="A8500" i="1"/>
  <c r="A8499" i="1"/>
  <c r="A8498" i="1"/>
  <c r="A8497" i="1"/>
  <c r="A8496" i="1"/>
  <c r="A8495" i="1"/>
  <c r="A8494" i="1"/>
  <c r="A8493" i="1"/>
  <c r="A8492" i="1"/>
  <c r="A8491" i="1"/>
  <c r="A8490" i="1"/>
  <c r="A8489" i="1"/>
  <c r="A8488" i="1"/>
  <c r="A8487" i="1"/>
  <c r="A8486" i="1"/>
  <c r="A8485" i="1"/>
  <c r="A8484" i="1"/>
  <c r="A8483" i="1"/>
  <c r="A8482" i="1"/>
  <c r="A8481" i="1"/>
  <c r="A8480" i="1"/>
  <c r="A8479" i="1"/>
  <c r="A8478" i="1"/>
  <c r="A8477" i="1"/>
  <c r="A8476" i="1"/>
  <c r="A8475" i="1"/>
  <c r="A8474" i="1"/>
  <c r="A8473" i="1"/>
  <c r="A8472" i="1"/>
  <c r="A8471" i="1"/>
  <c r="A8470" i="1"/>
  <c r="A8469" i="1"/>
  <c r="A8468" i="1"/>
  <c r="A8467" i="1"/>
  <c r="A8466" i="1"/>
  <c r="A8465" i="1"/>
  <c r="A8464" i="1"/>
  <c r="A8463" i="1"/>
  <c r="A8462" i="1"/>
  <c r="A8461" i="1"/>
  <c r="A8460" i="1"/>
  <c r="A8459" i="1"/>
  <c r="A8458" i="1"/>
  <c r="A8457" i="1"/>
  <c r="A8456" i="1"/>
  <c r="A8455" i="1"/>
  <c r="A8454" i="1"/>
  <c r="A8453" i="1"/>
  <c r="A8452" i="1"/>
  <c r="A8451" i="1"/>
  <c r="A8450" i="1"/>
  <c r="A8449" i="1"/>
  <c r="A8448" i="1"/>
  <c r="A8447" i="1"/>
  <c r="A8446" i="1"/>
  <c r="A8445" i="1"/>
  <c r="A8444" i="1"/>
  <c r="A8443" i="1"/>
  <c r="A8442" i="1"/>
  <c r="A8441" i="1"/>
  <c r="A8440" i="1"/>
  <c r="A8439" i="1"/>
  <c r="A8438" i="1"/>
  <c r="A8437" i="1"/>
  <c r="A8436" i="1"/>
  <c r="A8435" i="1"/>
  <c r="A8434" i="1"/>
  <c r="A8433" i="1"/>
  <c r="A8432" i="1"/>
  <c r="A8431" i="1"/>
  <c r="A8430" i="1"/>
  <c r="A8429" i="1"/>
  <c r="A8428" i="1"/>
  <c r="A8427" i="1"/>
  <c r="A8426" i="1"/>
  <c r="A8425" i="1"/>
  <c r="A8424" i="1"/>
  <c r="A8423" i="1"/>
  <c r="A8422" i="1"/>
  <c r="A8421" i="1"/>
  <c r="A8420" i="1"/>
  <c r="A8419" i="1"/>
  <c r="A8418" i="1"/>
  <c r="A8417" i="1"/>
  <c r="A8416" i="1"/>
  <c r="A8415" i="1"/>
  <c r="A8414" i="1"/>
  <c r="A8413" i="1"/>
  <c r="A8412" i="1"/>
  <c r="A8411" i="1"/>
  <c r="A8410" i="1"/>
  <c r="A8409" i="1"/>
  <c r="A8408" i="1"/>
  <c r="A8407" i="1"/>
  <c r="A8406" i="1"/>
  <c r="A8405" i="1"/>
  <c r="A8404" i="1"/>
  <c r="A8403" i="1"/>
  <c r="A8402" i="1"/>
  <c r="A8401" i="1"/>
  <c r="A8400" i="1"/>
  <c r="A8399" i="1"/>
  <c r="A8398" i="1"/>
  <c r="A8397" i="1"/>
  <c r="A8396" i="1"/>
  <c r="A8395" i="1"/>
  <c r="A8394" i="1"/>
  <c r="A8393" i="1"/>
  <c r="A8392" i="1"/>
  <c r="A8391" i="1"/>
  <c r="A8390" i="1"/>
  <c r="A8389" i="1"/>
  <c r="A8388" i="1"/>
  <c r="A8387" i="1"/>
  <c r="A8386" i="1"/>
  <c r="A8385" i="1"/>
  <c r="A8384" i="1"/>
  <c r="A8383" i="1"/>
  <c r="A8382" i="1"/>
  <c r="A8381" i="1"/>
  <c r="A8380" i="1"/>
  <c r="A8379" i="1"/>
  <c r="A8378" i="1"/>
  <c r="A8377" i="1"/>
  <c r="A8376" i="1"/>
  <c r="A8375" i="1"/>
  <c r="A8374" i="1"/>
  <c r="A8373" i="1"/>
  <c r="A8372" i="1"/>
  <c r="A8371" i="1"/>
  <c r="A8370" i="1"/>
  <c r="A8369" i="1"/>
  <c r="A8368" i="1"/>
  <c r="A8367" i="1"/>
  <c r="A8366" i="1"/>
  <c r="A8365" i="1"/>
  <c r="A8364" i="1"/>
  <c r="A8363" i="1"/>
  <c r="A8362" i="1"/>
  <c r="A8361" i="1"/>
  <c r="A8360" i="1"/>
  <c r="A8359" i="1"/>
  <c r="A8358" i="1"/>
  <c r="A8357" i="1"/>
  <c r="A8356" i="1"/>
  <c r="A8355" i="1"/>
  <c r="A8354" i="1"/>
  <c r="A8353" i="1"/>
  <c r="A8352" i="1"/>
  <c r="A8351" i="1"/>
  <c r="A8350" i="1"/>
  <c r="A8349" i="1"/>
  <c r="A8348" i="1"/>
  <c r="A8347" i="1"/>
  <c r="A8346" i="1"/>
  <c r="A8345" i="1"/>
  <c r="A8344" i="1"/>
  <c r="A8343" i="1"/>
  <c r="A8342" i="1"/>
  <c r="A8341" i="1"/>
  <c r="A8340" i="1"/>
  <c r="A8339" i="1"/>
  <c r="A8338" i="1"/>
  <c r="A8337" i="1"/>
  <c r="A8336" i="1"/>
  <c r="A8335" i="1"/>
  <c r="A8334" i="1"/>
  <c r="A8333" i="1"/>
  <c r="A8332" i="1"/>
  <c r="A8331" i="1"/>
  <c r="A8330" i="1"/>
  <c r="A8329" i="1"/>
  <c r="A8328" i="1"/>
  <c r="A8327" i="1"/>
  <c r="A8326" i="1"/>
  <c r="A8325" i="1"/>
  <c r="A8324" i="1"/>
  <c r="A8323" i="1"/>
  <c r="A8322" i="1"/>
  <c r="A8321" i="1"/>
  <c r="A8320" i="1"/>
  <c r="A8319" i="1"/>
  <c r="A8318" i="1"/>
  <c r="A8317" i="1"/>
  <c r="A8316" i="1"/>
  <c r="A8315" i="1"/>
  <c r="A8314" i="1"/>
  <c r="A8313" i="1"/>
  <c r="A8312" i="1"/>
  <c r="A8311" i="1"/>
  <c r="A8310" i="1"/>
  <c r="A8309" i="1"/>
  <c r="A8308" i="1"/>
  <c r="A8307" i="1"/>
  <c r="A8306" i="1"/>
  <c r="A8305" i="1"/>
  <c r="A8304" i="1"/>
  <c r="A8303" i="1"/>
  <c r="A8302" i="1"/>
  <c r="A8301" i="1"/>
  <c r="A8300" i="1"/>
  <c r="A8299" i="1"/>
  <c r="A8298" i="1"/>
  <c r="A8297" i="1"/>
  <c r="A8296" i="1"/>
  <c r="A8295" i="1"/>
  <c r="A8294" i="1"/>
  <c r="A8293" i="1"/>
  <c r="A8292" i="1"/>
  <c r="A8291" i="1"/>
  <c r="A8290" i="1"/>
  <c r="A8289" i="1"/>
  <c r="A8288" i="1"/>
  <c r="A8287" i="1"/>
  <c r="A8286" i="1"/>
  <c r="A8285" i="1"/>
  <c r="A8284" i="1"/>
  <c r="A8283" i="1"/>
  <c r="A8282" i="1"/>
  <c r="A8281" i="1"/>
  <c r="A8280" i="1"/>
  <c r="A8279" i="1"/>
  <c r="A8278" i="1"/>
  <c r="A8277" i="1"/>
  <c r="A8276" i="1"/>
  <c r="A8275" i="1"/>
  <c r="A8274" i="1"/>
  <c r="A8273" i="1"/>
  <c r="A8272" i="1"/>
  <c r="A8271" i="1"/>
  <c r="A8270" i="1"/>
  <c r="A8269" i="1"/>
  <c r="A8268" i="1"/>
  <c r="A8267" i="1"/>
  <c r="A8266" i="1"/>
  <c r="A8265" i="1"/>
  <c r="A8264" i="1"/>
  <c r="A8263" i="1"/>
  <c r="A8262" i="1"/>
  <c r="A8261" i="1"/>
  <c r="A8260" i="1"/>
  <c r="A8259" i="1"/>
  <c r="A8258" i="1"/>
  <c r="A8257" i="1"/>
  <c r="A8256" i="1"/>
  <c r="A8255" i="1"/>
  <c r="A8254" i="1"/>
  <c r="A8253" i="1"/>
  <c r="A8252" i="1"/>
  <c r="A8251" i="1"/>
  <c r="A8250" i="1"/>
  <c r="A8249" i="1"/>
  <c r="A8248" i="1"/>
  <c r="A8247" i="1"/>
  <c r="A8246" i="1"/>
  <c r="A8245" i="1"/>
  <c r="A8244" i="1"/>
  <c r="A8243" i="1"/>
  <c r="A8242" i="1"/>
  <c r="A8241" i="1"/>
  <c r="A8240" i="1"/>
  <c r="A8239" i="1"/>
  <c r="A8238" i="1"/>
  <c r="A8237" i="1"/>
  <c r="A8236" i="1"/>
  <c r="A8235" i="1"/>
  <c r="A8234" i="1"/>
  <c r="A8233" i="1"/>
  <c r="A8232" i="1"/>
  <c r="A8231" i="1"/>
  <c r="A8230" i="1"/>
  <c r="A8229" i="1"/>
  <c r="A8228" i="1"/>
  <c r="A8227" i="1"/>
  <c r="A8226" i="1"/>
  <c r="A8225" i="1"/>
  <c r="A8224" i="1"/>
  <c r="A8223" i="1"/>
  <c r="A8222" i="1"/>
  <c r="A8221" i="1"/>
  <c r="A8220" i="1"/>
  <c r="A8219" i="1"/>
  <c r="A8218" i="1"/>
  <c r="A8217" i="1"/>
  <c r="A8216" i="1"/>
  <c r="A8215" i="1"/>
  <c r="A8214" i="1"/>
  <c r="A8213" i="1"/>
  <c r="A8212" i="1"/>
  <c r="A8211" i="1"/>
  <c r="A8210" i="1"/>
  <c r="A8209" i="1"/>
  <c r="A8208" i="1"/>
  <c r="A8207" i="1"/>
  <c r="A8206" i="1"/>
  <c r="A8205" i="1"/>
  <c r="A8204" i="1"/>
  <c r="A8203" i="1"/>
  <c r="A8202" i="1"/>
  <c r="A8201" i="1"/>
  <c r="A8200" i="1"/>
  <c r="A8199" i="1"/>
  <c r="A8198" i="1"/>
  <c r="A8197" i="1"/>
  <c r="A8196" i="1"/>
  <c r="A8195" i="1"/>
  <c r="A8194" i="1"/>
  <c r="A8193" i="1"/>
  <c r="A8192" i="1"/>
  <c r="A8191" i="1"/>
  <c r="A8190" i="1"/>
  <c r="A8189" i="1"/>
  <c r="A8188" i="1"/>
  <c r="A8187" i="1"/>
  <c r="A8186" i="1"/>
  <c r="A8185" i="1"/>
  <c r="A8184" i="1"/>
  <c r="A8183" i="1"/>
  <c r="A8182" i="1"/>
  <c r="A8181" i="1"/>
  <c r="A8180" i="1"/>
  <c r="A8179" i="1"/>
  <c r="A8178" i="1"/>
  <c r="A8177" i="1"/>
  <c r="A8176" i="1"/>
  <c r="A8175" i="1"/>
  <c r="A8174" i="1"/>
  <c r="A8173" i="1"/>
  <c r="A8172" i="1"/>
  <c r="A8171" i="1"/>
  <c r="A8170" i="1"/>
  <c r="A8169" i="1"/>
  <c r="A8168" i="1"/>
  <c r="A8167" i="1"/>
  <c r="A8166" i="1"/>
  <c r="A8165" i="1"/>
  <c r="A8164" i="1"/>
  <c r="A8163" i="1"/>
  <c r="A8162" i="1"/>
  <c r="A8161" i="1"/>
  <c r="A8160" i="1"/>
  <c r="A8159" i="1"/>
  <c r="A8158" i="1"/>
  <c r="A8157" i="1"/>
  <c r="A8156" i="1"/>
  <c r="A8155" i="1"/>
  <c r="A8154" i="1"/>
  <c r="A8153" i="1"/>
  <c r="A8152" i="1"/>
  <c r="A8151" i="1"/>
  <c r="A8150" i="1"/>
  <c r="A8149" i="1"/>
  <c r="A8148" i="1"/>
  <c r="A8147" i="1"/>
  <c r="A8146" i="1"/>
  <c r="A8145" i="1"/>
  <c r="A8144" i="1"/>
  <c r="A8143" i="1"/>
  <c r="A8142" i="1"/>
  <c r="A8141" i="1"/>
  <c r="A8140" i="1"/>
  <c r="A8139" i="1"/>
  <c r="A8138" i="1"/>
  <c r="A8137" i="1"/>
  <c r="A8136" i="1"/>
  <c r="A8135" i="1"/>
  <c r="A8134" i="1"/>
  <c r="A8133" i="1"/>
  <c r="A8132" i="1"/>
  <c r="A8131" i="1"/>
  <c r="A8130" i="1"/>
  <c r="A8129" i="1"/>
  <c r="A8128" i="1"/>
  <c r="A8127" i="1"/>
  <c r="A8126" i="1"/>
  <c r="A8125" i="1"/>
  <c r="A8124" i="1"/>
  <c r="A8123" i="1"/>
  <c r="A8122" i="1"/>
  <c r="A8121" i="1"/>
  <c r="A8120" i="1"/>
  <c r="A8119" i="1"/>
  <c r="A8118" i="1"/>
  <c r="A8117" i="1"/>
  <c r="A8116" i="1"/>
  <c r="A8115" i="1"/>
  <c r="A8114" i="1"/>
  <c r="A8113" i="1"/>
  <c r="A8112" i="1"/>
  <c r="A8111" i="1"/>
  <c r="A8110" i="1"/>
  <c r="A8109" i="1"/>
  <c r="A8108" i="1"/>
  <c r="A8107" i="1"/>
  <c r="A8106" i="1"/>
  <c r="A8105" i="1"/>
  <c r="A8104" i="1"/>
  <c r="A8103" i="1"/>
  <c r="A8102" i="1"/>
  <c r="A8101" i="1"/>
  <c r="A8100" i="1"/>
  <c r="A8099" i="1"/>
  <c r="A8098" i="1"/>
  <c r="A8097" i="1"/>
  <c r="A8096" i="1"/>
  <c r="A8095" i="1"/>
  <c r="A8094" i="1"/>
  <c r="A8093" i="1"/>
  <c r="A8092" i="1"/>
  <c r="A8091" i="1"/>
  <c r="A8090" i="1"/>
  <c r="A8089" i="1"/>
  <c r="A8088" i="1"/>
  <c r="A8087" i="1"/>
  <c r="A8086" i="1"/>
  <c r="A8085" i="1"/>
  <c r="A8084" i="1"/>
  <c r="A8083" i="1"/>
  <c r="A8082" i="1"/>
  <c r="A8081" i="1"/>
  <c r="A8080" i="1"/>
  <c r="A8079" i="1"/>
  <c r="A8078" i="1"/>
  <c r="A8077" i="1"/>
  <c r="A8076" i="1"/>
  <c r="A8075" i="1"/>
  <c r="A8074" i="1"/>
  <c r="A8073" i="1"/>
  <c r="A8072" i="1"/>
  <c r="A8071" i="1"/>
  <c r="A8070" i="1"/>
  <c r="A8069" i="1"/>
  <c r="A8068" i="1"/>
  <c r="A8067" i="1"/>
  <c r="A8066" i="1"/>
  <c r="A8065" i="1"/>
  <c r="A8064" i="1"/>
  <c r="A8063" i="1"/>
  <c r="A8062" i="1"/>
  <c r="A8061" i="1"/>
  <c r="A8060" i="1"/>
  <c r="A8059" i="1"/>
  <c r="A8058" i="1"/>
  <c r="A8057" i="1"/>
  <c r="A8056" i="1"/>
  <c r="A8055" i="1"/>
  <c r="A8054" i="1"/>
  <c r="A8053" i="1"/>
  <c r="A8052" i="1"/>
  <c r="A8051" i="1"/>
  <c r="A8050" i="1"/>
  <c r="A8049" i="1"/>
  <c r="A8048" i="1"/>
  <c r="A8047" i="1"/>
  <c r="A8046" i="1"/>
  <c r="A8045" i="1"/>
  <c r="A8044" i="1"/>
  <c r="A8043" i="1"/>
  <c r="A8042" i="1"/>
  <c r="A8041" i="1"/>
  <c r="A8040" i="1"/>
  <c r="A8039" i="1"/>
  <c r="A8038" i="1"/>
  <c r="A8037" i="1"/>
  <c r="A8036" i="1"/>
  <c r="A8035" i="1"/>
  <c r="A8034" i="1"/>
  <c r="A8033" i="1"/>
  <c r="A8032" i="1"/>
  <c r="A8031" i="1"/>
  <c r="A8030" i="1"/>
  <c r="A8029" i="1"/>
  <c r="A8028" i="1"/>
  <c r="A8027" i="1"/>
  <c r="A8026" i="1"/>
  <c r="A8025" i="1"/>
  <c r="A8024" i="1"/>
  <c r="A8023" i="1"/>
  <c r="A8022" i="1"/>
  <c r="A8021" i="1"/>
  <c r="A8020" i="1"/>
  <c r="A8019" i="1"/>
  <c r="A8018" i="1"/>
  <c r="A8017" i="1"/>
  <c r="A8016" i="1"/>
  <c r="A8015" i="1"/>
  <c r="A8014" i="1"/>
  <c r="A8013" i="1"/>
  <c r="A8012" i="1"/>
  <c r="A8011" i="1"/>
  <c r="A8010" i="1"/>
  <c r="A8009" i="1"/>
  <c r="A8008" i="1"/>
  <c r="A8007" i="1"/>
  <c r="A8006" i="1"/>
  <c r="A8005" i="1"/>
  <c r="A8004" i="1"/>
  <c r="A8003" i="1"/>
  <c r="A8002" i="1"/>
  <c r="A8001" i="1"/>
  <c r="A8000" i="1"/>
  <c r="A7999" i="1"/>
  <c r="A7998" i="1"/>
  <c r="A7997" i="1"/>
  <c r="A7996" i="1"/>
  <c r="A7995" i="1"/>
  <c r="A7994" i="1"/>
  <c r="A7993" i="1"/>
  <c r="A7992" i="1"/>
  <c r="A7991" i="1"/>
  <c r="A7990" i="1"/>
  <c r="A7989" i="1"/>
  <c r="A7988" i="1"/>
  <c r="A7987" i="1"/>
  <c r="A7986" i="1"/>
  <c r="A7985" i="1"/>
  <c r="A7984" i="1"/>
  <c r="A7983" i="1"/>
  <c r="A7982" i="1"/>
  <c r="A7981" i="1"/>
  <c r="A7980" i="1"/>
  <c r="A7979" i="1"/>
  <c r="A7978" i="1"/>
  <c r="A7977" i="1"/>
  <c r="A7976" i="1"/>
  <c r="A7975" i="1"/>
  <c r="A7974" i="1"/>
  <c r="A7973" i="1"/>
  <c r="A7972" i="1"/>
  <c r="A7971" i="1"/>
  <c r="A7970" i="1"/>
  <c r="A7969" i="1"/>
  <c r="A7968" i="1"/>
  <c r="A7967" i="1"/>
  <c r="A7966" i="1"/>
  <c r="A7965" i="1"/>
  <c r="A7964" i="1"/>
  <c r="A7963" i="1"/>
  <c r="A7962" i="1"/>
  <c r="A7961" i="1"/>
  <c r="A7960" i="1"/>
  <c r="A7959" i="1"/>
  <c r="A7958" i="1"/>
  <c r="A7957" i="1"/>
  <c r="A7956" i="1"/>
  <c r="A7955" i="1"/>
  <c r="A7954" i="1"/>
  <c r="A7953" i="1"/>
  <c r="A7952" i="1"/>
  <c r="A7951" i="1"/>
  <c r="A7950" i="1"/>
  <c r="A7949" i="1"/>
  <c r="A7948" i="1"/>
  <c r="A7947" i="1"/>
  <c r="A7946" i="1"/>
  <c r="A7945" i="1"/>
  <c r="A7944" i="1"/>
  <c r="A7943" i="1"/>
  <c r="A7942" i="1"/>
  <c r="A7941" i="1"/>
  <c r="A7940" i="1"/>
  <c r="A7939" i="1"/>
  <c r="A7938" i="1"/>
  <c r="A7937" i="1"/>
  <c r="A7936" i="1"/>
  <c r="A7935" i="1"/>
  <c r="A7934" i="1"/>
  <c r="A7933" i="1"/>
  <c r="A7932" i="1"/>
  <c r="A7931" i="1"/>
  <c r="A7930" i="1"/>
  <c r="A7929" i="1"/>
  <c r="A7928" i="1"/>
  <c r="A7927" i="1"/>
  <c r="A7926" i="1"/>
  <c r="A7925" i="1"/>
  <c r="A7924" i="1"/>
  <c r="A7923" i="1"/>
  <c r="A7922" i="1"/>
  <c r="A7921" i="1"/>
  <c r="A7920" i="1"/>
  <c r="A7919" i="1"/>
  <c r="A7918" i="1"/>
  <c r="A7917" i="1"/>
  <c r="A7916" i="1"/>
  <c r="A7915" i="1"/>
  <c r="A7914" i="1"/>
  <c r="A7913" i="1"/>
  <c r="A7912" i="1"/>
  <c r="A7911" i="1"/>
  <c r="A7910" i="1"/>
  <c r="A7909" i="1"/>
  <c r="A7908" i="1"/>
  <c r="A7907" i="1"/>
  <c r="A7906" i="1"/>
  <c r="A7905" i="1"/>
  <c r="A7904" i="1"/>
  <c r="A7903" i="1"/>
  <c r="A7902" i="1"/>
  <c r="A7901" i="1"/>
  <c r="A7900" i="1"/>
  <c r="A7899" i="1"/>
  <c r="A7898" i="1"/>
  <c r="A7897" i="1"/>
  <c r="A7896" i="1"/>
  <c r="A7895" i="1"/>
  <c r="A7894" i="1"/>
  <c r="A7893" i="1"/>
  <c r="A7892" i="1"/>
  <c r="A7891" i="1"/>
  <c r="A7890" i="1"/>
  <c r="A7889" i="1"/>
  <c r="A7888" i="1"/>
  <c r="A7887" i="1"/>
  <c r="A7886" i="1"/>
  <c r="A7885" i="1"/>
  <c r="A7884" i="1"/>
  <c r="A7883" i="1"/>
  <c r="A7882" i="1"/>
  <c r="A7881" i="1"/>
  <c r="A7880" i="1"/>
  <c r="A7879" i="1"/>
  <c r="A7878" i="1"/>
  <c r="A7877" i="1"/>
  <c r="A7876" i="1"/>
  <c r="A7875" i="1"/>
  <c r="A7874" i="1"/>
  <c r="A7873" i="1"/>
  <c r="A7872" i="1"/>
  <c r="A7871" i="1"/>
  <c r="A7870" i="1"/>
  <c r="A7869" i="1"/>
  <c r="A7868" i="1"/>
  <c r="A7867" i="1"/>
  <c r="A7866" i="1"/>
  <c r="A7865" i="1"/>
  <c r="A7864" i="1"/>
  <c r="A7863" i="1"/>
  <c r="A7862" i="1"/>
  <c r="A7861" i="1"/>
  <c r="A7860" i="1"/>
  <c r="A7859" i="1"/>
  <c r="A7858" i="1"/>
  <c r="A7857" i="1"/>
  <c r="A7856" i="1"/>
  <c r="A7855" i="1"/>
  <c r="A7854" i="1"/>
  <c r="A7853" i="1"/>
  <c r="A7852" i="1"/>
  <c r="A7851" i="1"/>
  <c r="A7850" i="1"/>
  <c r="A7849" i="1"/>
  <c r="A7848" i="1"/>
  <c r="A7847" i="1"/>
  <c r="A7846" i="1"/>
  <c r="A7845" i="1"/>
  <c r="A7844" i="1"/>
  <c r="A7843" i="1"/>
  <c r="A7842" i="1"/>
  <c r="A7841" i="1"/>
  <c r="A7840" i="1"/>
  <c r="A7839" i="1"/>
  <c r="A7838" i="1"/>
  <c r="A7837" i="1"/>
  <c r="A7836" i="1"/>
  <c r="A7835" i="1"/>
  <c r="A7834" i="1"/>
  <c r="A7833" i="1"/>
  <c r="A7832" i="1"/>
  <c r="A7831" i="1"/>
  <c r="A7830" i="1"/>
  <c r="A7829" i="1"/>
  <c r="A7828" i="1"/>
  <c r="A7827" i="1"/>
  <c r="A7826" i="1"/>
  <c r="A7825" i="1"/>
  <c r="A7824" i="1"/>
  <c r="A7823" i="1"/>
  <c r="A7822" i="1"/>
  <c r="A7821" i="1"/>
  <c r="A7820" i="1"/>
  <c r="A7819" i="1"/>
  <c r="A7818" i="1"/>
  <c r="A7817" i="1"/>
  <c r="A7816" i="1"/>
  <c r="A7815" i="1"/>
  <c r="A7814" i="1"/>
  <c r="A7813" i="1"/>
  <c r="A7812" i="1"/>
  <c r="A7811" i="1"/>
  <c r="A7810" i="1"/>
  <c r="A7809" i="1"/>
  <c r="A7808" i="1"/>
  <c r="A7807" i="1"/>
  <c r="A7806" i="1"/>
  <c r="A7805" i="1"/>
  <c r="A7804" i="1"/>
  <c r="A7803" i="1"/>
  <c r="A7802" i="1"/>
  <c r="A7801" i="1"/>
  <c r="A7800" i="1"/>
  <c r="A7799" i="1"/>
  <c r="A7798" i="1"/>
  <c r="A7797" i="1"/>
  <c r="A7796" i="1"/>
  <c r="A7795" i="1"/>
  <c r="A7794" i="1"/>
  <c r="A7793" i="1"/>
  <c r="A7792" i="1"/>
  <c r="A7791" i="1"/>
  <c r="A7790" i="1"/>
  <c r="A7789" i="1"/>
  <c r="A7788" i="1"/>
  <c r="A7787" i="1"/>
  <c r="A7786" i="1"/>
  <c r="A7785" i="1"/>
  <c r="A7784" i="1"/>
  <c r="A7783" i="1"/>
  <c r="A7782" i="1"/>
  <c r="A7781" i="1"/>
  <c r="A7780" i="1"/>
  <c r="A7779" i="1"/>
  <c r="A7778" i="1"/>
  <c r="A7777" i="1"/>
  <c r="A7776" i="1"/>
  <c r="A7775" i="1"/>
  <c r="A7774" i="1"/>
  <c r="A7773" i="1"/>
  <c r="A7772" i="1"/>
  <c r="A7771" i="1"/>
  <c r="A7770" i="1"/>
  <c r="A7769" i="1"/>
  <c r="A7768" i="1"/>
  <c r="A7767" i="1"/>
  <c r="A7766" i="1"/>
  <c r="A7765" i="1"/>
  <c r="A7764" i="1"/>
  <c r="A7763" i="1"/>
  <c r="A7762" i="1"/>
  <c r="A7761" i="1"/>
  <c r="A7760" i="1"/>
  <c r="A7759" i="1"/>
  <c r="A7758" i="1"/>
  <c r="A7757" i="1"/>
  <c r="A7756" i="1"/>
  <c r="A7755" i="1"/>
  <c r="A7754" i="1"/>
  <c r="A7753" i="1"/>
  <c r="A7752" i="1"/>
  <c r="A7751" i="1"/>
  <c r="A7750" i="1"/>
  <c r="A7749" i="1"/>
  <c r="A7748" i="1"/>
  <c r="A7747" i="1"/>
  <c r="A7746" i="1"/>
  <c r="A7745" i="1"/>
  <c r="A7744" i="1"/>
  <c r="A7743" i="1"/>
  <c r="A7742" i="1"/>
  <c r="A7741" i="1"/>
  <c r="A7740" i="1"/>
  <c r="A7739" i="1"/>
  <c r="A7738" i="1"/>
  <c r="A7737" i="1"/>
  <c r="A7736" i="1"/>
  <c r="A7735" i="1"/>
  <c r="A7734" i="1"/>
  <c r="A7733" i="1"/>
  <c r="A7732" i="1"/>
  <c r="A7731" i="1"/>
  <c r="A7730" i="1"/>
  <c r="A7729" i="1"/>
  <c r="A7728" i="1"/>
  <c r="A7727" i="1"/>
  <c r="A7726" i="1"/>
  <c r="A7725" i="1"/>
  <c r="A7724" i="1"/>
  <c r="A7723" i="1"/>
  <c r="A7722" i="1"/>
  <c r="A7721" i="1"/>
  <c r="A7720" i="1"/>
  <c r="A7719" i="1"/>
  <c r="A7718" i="1"/>
  <c r="A7717" i="1"/>
  <c r="A7716" i="1"/>
  <c r="A7715" i="1"/>
  <c r="A7714" i="1"/>
  <c r="A7713" i="1"/>
  <c r="A7712" i="1"/>
  <c r="A7711" i="1"/>
  <c r="A7710" i="1"/>
  <c r="A7709" i="1"/>
  <c r="A7708" i="1"/>
  <c r="A7707" i="1"/>
  <c r="A7706" i="1"/>
  <c r="A7705" i="1"/>
  <c r="A7704" i="1"/>
  <c r="A7703" i="1"/>
  <c r="A7702" i="1"/>
  <c r="A7701" i="1"/>
  <c r="A7700" i="1"/>
  <c r="A7699" i="1"/>
  <c r="A7698" i="1"/>
  <c r="A7697" i="1"/>
  <c r="A7696" i="1"/>
  <c r="A7695" i="1"/>
  <c r="A7694" i="1"/>
  <c r="A7693" i="1"/>
  <c r="A7692" i="1"/>
  <c r="A7691" i="1"/>
  <c r="A7690" i="1"/>
  <c r="A7689" i="1"/>
  <c r="A7688" i="1"/>
  <c r="A7687" i="1"/>
  <c r="A7686" i="1"/>
  <c r="A7685" i="1"/>
  <c r="A7684" i="1"/>
  <c r="A7683" i="1"/>
  <c r="A7682" i="1"/>
  <c r="A7681" i="1"/>
  <c r="A7680" i="1"/>
  <c r="A7679" i="1"/>
  <c r="A7678" i="1"/>
  <c r="A7677" i="1"/>
  <c r="A7676" i="1"/>
  <c r="A7675" i="1"/>
  <c r="A7674" i="1"/>
  <c r="A7673" i="1"/>
  <c r="A7672" i="1"/>
  <c r="A7671" i="1"/>
  <c r="A7670" i="1"/>
  <c r="A7669" i="1"/>
  <c r="A7668" i="1"/>
  <c r="A7667" i="1"/>
  <c r="A7666" i="1"/>
  <c r="A7665" i="1"/>
  <c r="A7664" i="1"/>
  <c r="A7663" i="1"/>
  <c r="A7662" i="1"/>
  <c r="A7661" i="1"/>
  <c r="A7660" i="1"/>
  <c r="A7659" i="1"/>
  <c r="A7658" i="1"/>
  <c r="A7657" i="1"/>
  <c r="A7656" i="1"/>
  <c r="A7655" i="1"/>
  <c r="A7654" i="1"/>
  <c r="A7653" i="1"/>
  <c r="A7652" i="1"/>
  <c r="A7651" i="1"/>
  <c r="A7650" i="1"/>
  <c r="A7649" i="1"/>
  <c r="A7648" i="1"/>
  <c r="A7647" i="1"/>
  <c r="A7646" i="1"/>
  <c r="A7645" i="1"/>
  <c r="A7644" i="1"/>
  <c r="A7643" i="1"/>
  <c r="A7642" i="1"/>
  <c r="A7641" i="1"/>
  <c r="A7640" i="1"/>
  <c r="A7639" i="1"/>
  <c r="A7638" i="1"/>
  <c r="A7637" i="1"/>
  <c r="A7636" i="1"/>
  <c r="A7635" i="1"/>
  <c r="A7634" i="1"/>
  <c r="A7633" i="1"/>
  <c r="A7632" i="1"/>
  <c r="A7631" i="1"/>
  <c r="A7630" i="1"/>
  <c r="A7629" i="1"/>
  <c r="A7628" i="1"/>
  <c r="A7627" i="1"/>
  <c r="A7626" i="1"/>
  <c r="A7625" i="1"/>
  <c r="A7624" i="1"/>
  <c r="A7623" i="1"/>
  <c r="A7622" i="1"/>
  <c r="A7621" i="1"/>
  <c r="A7620" i="1"/>
  <c r="A7619" i="1"/>
  <c r="A7618" i="1"/>
  <c r="A7617" i="1"/>
  <c r="A7616" i="1"/>
  <c r="A7615" i="1"/>
  <c r="A7614" i="1"/>
  <c r="A7613" i="1"/>
  <c r="A7612" i="1"/>
  <c r="A7611" i="1"/>
  <c r="A7610" i="1"/>
  <c r="A7609" i="1"/>
  <c r="A7608" i="1"/>
  <c r="A7607" i="1"/>
  <c r="A7606" i="1"/>
  <c r="A7605" i="1"/>
  <c r="A7604" i="1"/>
  <c r="A7603" i="1"/>
  <c r="A7602" i="1"/>
  <c r="A7601" i="1"/>
  <c r="A7600" i="1"/>
  <c r="A7599" i="1"/>
  <c r="A7598" i="1"/>
  <c r="A7597" i="1"/>
  <c r="A7596" i="1"/>
  <c r="A7595" i="1"/>
  <c r="A7594" i="1"/>
  <c r="A7593" i="1"/>
  <c r="A7592" i="1"/>
  <c r="A7591" i="1"/>
  <c r="A7590" i="1"/>
  <c r="A7589" i="1"/>
  <c r="A7588" i="1"/>
  <c r="A7587" i="1"/>
  <c r="A7586" i="1"/>
  <c r="A7585" i="1"/>
  <c r="A7584" i="1"/>
  <c r="A7583" i="1"/>
  <c r="A7582" i="1"/>
  <c r="A7581" i="1"/>
  <c r="A7580" i="1"/>
  <c r="A7579" i="1"/>
  <c r="A7578" i="1"/>
  <c r="A7577" i="1"/>
  <c r="A7576" i="1"/>
  <c r="A7575" i="1"/>
  <c r="A7574" i="1"/>
  <c r="A7573" i="1"/>
  <c r="A7572" i="1"/>
  <c r="A7571" i="1"/>
  <c r="A7570" i="1"/>
  <c r="A7569" i="1"/>
  <c r="A7568" i="1"/>
  <c r="A7567" i="1"/>
  <c r="A7566" i="1"/>
  <c r="A7565" i="1"/>
  <c r="A7564" i="1"/>
  <c r="A7563" i="1"/>
  <c r="A7562" i="1"/>
  <c r="A7561" i="1"/>
  <c r="A7560" i="1"/>
  <c r="A7559" i="1"/>
  <c r="A7558" i="1"/>
  <c r="A7557" i="1"/>
  <c r="A7556" i="1"/>
  <c r="A7555" i="1"/>
  <c r="A7554" i="1"/>
  <c r="A7553" i="1"/>
  <c r="A7552" i="1"/>
  <c r="A7551" i="1"/>
  <c r="A7550" i="1"/>
  <c r="A7549" i="1"/>
  <c r="A7548" i="1"/>
  <c r="A7547" i="1"/>
  <c r="A7546" i="1"/>
  <c r="A7545" i="1"/>
  <c r="A7544" i="1"/>
  <c r="A7543" i="1"/>
  <c r="A7542" i="1"/>
  <c r="A7541" i="1"/>
  <c r="A7540" i="1"/>
  <c r="A7539" i="1"/>
  <c r="A7538" i="1"/>
  <c r="A7537" i="1"/>
  <c r="A7536" i="1"/>
  <c r="A7535" i="1"/>
  <c r="A7534" i="1"/>
  <c r="A7533" i="1"/>
  <c r="A7532" i="1"/>
  <c r="A7531" i="1"/>
  <c r="A7530" i="1"/>
  <c r="A7529" i="1"/>
  <c r="A7528" i="1"/>
  <c r="A7527" i="1"/>
  <c r="A7526" i="1"/>
  <c r="A7525" i="1"/>
  <c r="A7524" i="1"/>
  <c r="A7523" i="1"/>
  <c r="A7522" i="1"/>
  <c r="A7521" i="1"/>
  <c r="A7520" i="1"/>
  <c r="A7519" i="1"/>
  <c r="A7518" i="1"/>
  <c r="A7517" i="1"/>
  <c r="A7516" i="1"/>
  <c r="A7515" i="1"/>
  <c r="A7514" i="1"/>
  <c r="A7513" i="1"/>
  <c r="A7512" i="1"/>
  <c r="A7511" i="1"/>
  <c r="A7510" i="1"/>
  <c r="A7509" i="1"/>
  <c r="A7508" i="1"/>
  <c r="A7507" i="1"/>
  <c r="A7506" i="1"/>
  <c r="A7505" i="1"/>
  <c r="A7504" i="1"/>
  <c r="A7503" i="1"/>
  <c r="A7502" i="1"/>
  <c r="A7501" i="1"/>
  <c r="A7500" i="1"/>
  <c r="A7499" i="1"/>
  <c r="A7498" i="1"/>
  <c r="A7497" i="1"/>
  <c r="A7496" i="1"/>
  <c r="A7495" i="1"/>
  <c r="A7494" i="1"/>
  <c r="A7493" i="1"/>
  <c r="A7492" i="1"/>
  <c r="A7491" i="1"/>
  <c r="A7490" i="1"/>
  <c r="A7489" i="1"/>
  <c r="A7488" i="1"/>
  <c r="A7487" i="1"/>
  <c r="A7486" i="1"/>
  <c r="A7485" i="1"/>
  <c r="A7484" i="1"/>
  <c r="A7483" i="1"/>
  <c r="A7482" i="1"/>
  <c r="A7481" i="1"/>
  <c r="A7480" i="1"/>
  <c r="A7479" i="1"/>
  <c r="A7478" i="1"/>
  <c r="A7477" i="1"/>
  <c r="A7476" i="1"/>
  <c r="A7475" i="1"/>
  <c r="A7474" i="1"/>
  <c r="A7473" i="1"/>
  <c r="A7472" i="1"/>
  <c r="A7471" i="1"/>
  <c r="A7470" i="1"/>
  <c r="A7469" i="1"/>
  <c r="A7468" i="1"/>
  <c r="A7467" i="1"/>
  <c r="A7466" i="1"/>
  <c r="A7465" i="1"/>
  <c r="A7464" i="1"/>
  <c r="A7463" i="1"/>
  <c r="A7462" i="1"/>
  <c r="A7461" i="1"/>
  <c r="A7460" i="1"/>
  <c r="A7459" i="1"/>
  <c r="A7458" i="1"/>
  <c r="A7457" i="1"/>
  <c r="A7456" i="1"/>
  <c r="A7455" i="1"/>
  <c r="A7454" i="1"/>
  <c r="A7453" i="1"/>
  <c r="A7452" i="1"/>
  <c r="A7451" i="1"/>
  <c r="A7450" i="1"/>
  <c r="A7449" i="1"/>
  <c r="A7448" i="1"/>
  <c r="A7447" i="1"/>
  <c r="A7446" i="1"/>
  <c r="A7445" i="1"/>
  <c r="A7444" i="1"/>
  <c r="A7443" i="1"/>
  <c r="A7442" i="1"/>
  <c r="A7441" i="1"/>
  <c r="A7440" i="1"/>
  <c r="A7439" i="1"/>
  <c r="A7438" i="1"/>
  <c r="A7437" i="1"/>
  <c r="A7436" i="1"/>
  <c r="A7435" i="1"/>
  <c r="A7434" i="1"/>
  <c r="A7433" i="1"/>
  <c r="A7432" i="1"/>
  <c r="A7431" i="1"/>
  <c r="A7430" i="1"/>
  <c r="A7429" i="1"/>
  <c r="A7428" i="1"/>
  <c r="A7427" i="1"/>
  <c r="A7426" i="1"/>
  <c r="A7425" i="1"/>
  <c r="A7424" i="1"/>
  <c r="A7423" i="1"/>
  <c r="A7422" i="1"/>
  <c r="A7421" i="1"/>
  <c r="A7420" i="1"/>
  <c r="A7419" i="1"/>
  <c r="A7418" i="1"/>
  <c r="A7417" i="1"/>
  <c r="A7416" i="1"/>
  <c r="A7415" i="1"/>
  <c r="A7414" i="1"/>
  <c r="A7413" i="1"/>
  <c r="A7412" i="1"/>
  <c r="A7411" i="1"/>
  <c r="A7410" i="1"/>
  <c r="A7409" i="1"/>
  <c r="A7408" i="1"/>
  <c r="A7407" i="1"/>
  <c r="A7406" i="1"/>
  <c r="A7405" i="1"/>
  <c r="A7404" i="1"/>
  <c r="A7403" i="1"/>
  <c r="A7402" i="1"/>
  <c r="A7401" i="1"/>
  <c r="A7400" i="1"/>
  <c r="A7399" i="1"/>
  <c r="A7398" i="1"/>
  <c r="A7397" i="1"/>
  <c r="A7396" i="1"/>
  <c r="A7395" i="1"/>
  <c r="A7394" i="1"/>
  <c r="A7393" i="1"/>
  <c r="A7392" i="1"/>
  <c r="A7391" i="1"/>
  <c r="A7390" i="1"/>
  <c r="A7389" i="1"/>
  <c r="A7388" i="1"/>
  <c r="A7387" i="1"/>
  <c r="A7386" i="1"/>
  <c r="A7385" i="1"/>
  <c r="A7384" i="1"/>
  <c r="A7383" i="1"/>
  <c r="A7382" i="1"/>
  <c r="A7381" i="1"/>
  <c r="A7380" i="1"/>
  <c r="A7379" i="1"/>
  <c r="A7378" i="1"/>
  <c r="A7377" i="1"/>
  <c r="A7376" i="1"/>
  <c r="A7375" i="1"/>
  <c r="A7374" i="1"/>
  <c r="A7373" i="1"/>
  <c r="A7372" i="1"/>
  <c r="A7371" i="1"/>
  <c r="A7370" i="1"/>
  <c r="A7369" i="1"/>
  <c r="A7368" i="1"/>
  <c r="A7367" i="1"/>
  <c r="A7366" i="1"/>
  <c r="A7365" i="1"/>
  <c r="A7364" i="1"/>
  <c r="A7363" i="1"/>
  <c r="A7362" i="1"/>
  <c r="A7361" i="1"/>
  <c r="A7360" i="1"/>
  <c r="A7359" i="1"/>
  <c r="A7358" i="1"/>
  <c r="A7357" i="1"/>
  <c r="A7356" i="1"/>
  <c r="A7355" i="1"/>
  <c r="A7354" i="1"/>
  <c r="A7353" i="1"/>
  <c r="A7352" i="1"/>
  <c r="A7351" i="1"/>
  <c r="A7350" i="1"/>
  <c r="A7349" i="1"/>
  <c r="A7348" i="1"/>
  <c r="A7347" i="1"/>
  <c r="A7346" i="1"/>
  <c r="A7345" i="1"/>
  <c r="A7344" i="1"/>
  <c r="A7343" i="1"/>
  <c r="A7342" i="1"/>
  <c r="A7341" i="1"/>
  <c r="A7340" i="1"/>
  <c r="A7339" i="1"/>
  <c r="A7338" i="1"/>
  <c r="A7337" i="1"/>
  <c r="A7336" i="1"/>
  <c r="A7335" i="1"/>
  <c r="A7334" i="1"/>
  <c r="A7333" i="1"/>
  <c r="A7332" i="1"/>
  <c r="A7331" i="1"/>
  <c r="A7330" i="1"/>
  <c r="A7329" i="1"/>
  <c r="A7328" i="1"/>
  <c r="A7327" i="1"/>
  <c r="A7326" i="1"/>
  <c r="A7325" i="1"/>
  <c r="A7324" i="1"/>
  <c r="A7323" i="1"/>
  <c r="A7322" i="1"/>
  <c r="A7321" i="1"/>
  <c r="A7320" i="1"/>
  <c r="A7319" i="1"/>
  <c r="A7318" i="1"/>
  <c r="A7317" i="1"/>
  <c r="A7316" i="1"/>
  <c r="A7315" i="1"/>
  <c r="A7314" i="1"/>
  <c r="A7313" i="1"/>
  <c r="A7312" i="1"/>
  <c r="A7311" i="1"/>
  <c r="A7310" i="1"/>
  <c r="A7309" i="1"/>
  <c r="A7308" i="1"/>
  <c r="A7307" i="1"/>
  <c r="A7306" i="1"/>
  <c r="A7305" i="1"/>
  <c r="A7304" i="1"/>
  <c r="A7303" i="1"/>
  <c r="A7302" i="1"/>
  <c r="A7301" i="1"/>
  <c r="A7300" i="1"/>
  <c r="A7299" i="1"/>
  <c r="A7298" i="1"/>
  <c r="A7297" i="1"/>
  <c r="A7296" i="1"/>
  <c r="A7295" i="1"/>
  <c r="A7294" i="1"/>
  <c r="A7293" i="1"/>
  <c r="A7292" i="1"/>
  <c r="A7291" i="1"/>
  <c r="A7290" i="1"/>
  <c r="A7289" i="1"/>
  <c r="A7288" i="1"/>
  <c r="A7287" i="1"/>
  <c r="A7286" i="1"/>
  <c r="A7285" i="1"/>
  <c r="A7284" i="1"/>
  <c r="A7283" i="1"/>
  <c r="A7282" i="1"/>
  <c r="A7281" i="1"/>
  <c r="A7280" i="1"/>
  <c r="A7279" i="1"/>
  <c r="A7278" i="1"/>
  <c r="A7277" i="1"/>
  <c r="A7276" i="1"/>
  <c r="A7275" i="1"/>
  <c r="A7274" i="1"/>
  <c r="A7273" i="1"/>
  <c r="A7272" i="1"/>
  <c r="A7271" i="1"/>
  <c r="A7270" i="1"/>
  <c r="A7269" i="1"/>
  <c r="A7268" i="1"/>
  <c r="A7267" i="1"/>
  <c r="A7266" i="1"/>
  <c r="A7265" i="1"/>
  <c r="A7264" i="1"/>
  <c r="A7263" i="1"/>
  <c r="A7262" i="1"/>
  <c r="A7261" i="1"/>
  <c r="A7260" i="1"/>
  <c r="A7259" i="1"/>
  <c r="A7258" i="1"/>
  <c r="A7257" i="1"/>
  <c r="A7256" i="1"/>
  <c r="A7255" i="1"/>
  <c r="A7254" i="1"/>
  <c r="A7253" i="1"/>
  <c r="A7252" i="1"/>
  <c r="A7251" i="1"/>
  <c r="A7250" i="1"/>
  <c r="A7249" i="1"/>
  <c r="A7248" i="1"/>
  <c r="A7247" i="1"/>
  <c r="A7246" i="1"/>
  <c r="A7245" i="1"/>
  <c r="A7244" i="1"/>
  <c r="A7243" i="1"/>
  <c r="A7242" i="1"/>
  <c r="A7241" i="1"/>
  <c r="A7240" i="1"/>
  <c r="A7239" i="1"/>
  <c r="A7238" i="1"/>
  <c r="A7237" i="1"/>
  <c r="A7236" i="1"/>
  <c r="A7235" i="1"/>
  <c r="A7234" i="1"/>
  <c r="A7233" i="1"/>
  <c r="A7232" i="1"/>
  <c r="A7231" i="1"/>
  <c r="A7230" i="1"/>
  <c r="A7229" i="1"/>
  <c r="A7228" i="1"/>
  <c r="A7227" i="1"/>
  <c r="A7226" i="1"/>
  <c r="A7225" i="1"/>
  <c r="A7224" i="1"/>
  <c r="A7223" i="1"/>
  <c r="A7222" i="1"/>
  <c r="A7221" i="1"/>
  <c r="A7220" i="1"/>
  <c r="A7219" i="1"/>
  <c r="A7218" i="1"/>
  <c r="A7217" i="1"/>
  <c r="A7216" i="1"/>
  <c r="A7215" i="1"/>
  <c r="A7214" i="1"/>
  <c r="A7213" i="1"/>
  <c r="A7212" i="1"/>
  <c r="A7211" i="1"/>
  <c r="A7210" i="1"/>
  <c r="A7209" i="1"/>
  <c r="A7208" i="1"/>
  <c r="A7207" i="1"/>
  <c r="A7206" i="1"/>
  <c r="A7205" i="1"/>
  <c r="A7204" i="1"/>
  <c r="A7203" i="1"/>
  <c r="A7202" i="1"/>
  <c r="A7201" i="1"/>
  <c r="A7200" i="1"/>
  <c r="A7199" i="1"/>
  <c r="A7198" i="1"/>
  <c r="A7197" i="1"/>
  <c r="A7196" i="1"/>
  <c r="A7195" i="1"/>
  <c r="A7194" i="1"/>
  <c r="A7193" i="1"/>
  <c r="A7192" i="1"/>
  <c r="A7191" i="1"/>
  <c r="A7190" i="1"/>
  <c r="A7189" i="1"/>
  <c r="A7188" i="1"/>
  <c r="A7187" i="1"/>
  <c r="A7186" i="1"/>
  <c r="A7185" i="1"/>
  <c r="A7184" i="1"/>
  <c r="A7183" i="1"/>
  <c r="A7182" i="1"/>
  <c r="A7181" i="1"/>
  <c r="A7180" i="1"/>
  <c r="A7179" i="1"/>
  <c r="A7178" i="1"/>
  <c r="A7177" i="1"/>
  <c r="A7176" i="1"/>
  <c r="A7175" i="1"/>
  <c r="A7174" i="1"/>
  <c r="A7173" i="1"/>
  <c r="A7172" i="1"/>
  <c r="A7171" i="1"/>
  <c r="A7170" i="1"/>
  <c r="A7169" i="1"/>
  <c r="A7168" i="1"/>
  <c r="A7167" i="1"/>
  <c r="A7166" i="1"/>
  <c r="A7165" i="1"/>
  <c r="A7164" i="1"/>
  <c r="A7163" i="1"/>
  <c r="A7162" i="1"/>
  <c r="A7161" i="1"/>
  <c r="A7160" i="1"/>
  <c r="A7159" i="1"/>
  <c r="A7158" i="1"/>
  <c r="A7157" i="1"/>
  <c r="A7156" i="1"/>
  <c r="A7155" i="1"/>
  <c r="A7154" i="1"/>
  <c r="A7153" i="1"/>
  <c r="A7152" i="1"/>
  <c r="A7151" i="1"/>
  <c r="A7150" i="1"/>
  <c r="A7149" i="1"/>
  <c r="A7148" i="1"/>
  <c r="A7147" i="1"/>
  <c r="A7146" i="1"/>
  <c r="A7145" i="1"/>
  <c r="A7144" i="1"/>
  <c r="A7143" i="1"/>
  <c r="A7142" i="1"/>
  <c r="A7141" i="1"/>
  <c r="A7140" i="1"/>
  <c r="A7139" i="1"/>
  <c r="A7138" i="1"/>
  <c r="A7137" i="1"/>
  <c r="A7136" i="1"/>
  <c r="A7135" i="1"/>
  <c r="A7134" i="1"/>
  <c r="A7133" i="1"/>
  <c r="A7132" i="1"/>
  <c r="A7131" i="1"/>
  <c r="A7130" i="1"/>
  <c r="A7129" i="1"/>
  <c r="A7128" i="1"/>
  <c r="A7127" i="1"/>
  <c r="A7126" i="1"/>
  <c r="A7125" i="1"/>
  <c r="A7124" i="1"/>
  <c r="A7123" i="1"/>
  <c r="A7122" i="1"/>
  <c r="A7121" i="1"/>
  <c r="A7120" i="1"/>
  <c r="A7119" i="1"/>
  <c r="A7118" i="1"/>
  <c r="A7117" i="1"/>
  <c r="A7116" i="1"/>
  <c r="A7115" i="1"/>
  <c r="A7114" i="1"/>
  <c r="A7113" i="1"/>
  <c r="A7112" i="1"/>
  <c r="A7111" i="1"/>
  <c r="A7110" i="1"/>
  <c r="A7109" i="1"/>
  <c r="A7108" i="1"/>
  <c r="A7107" i="1"/>
  <c r="A7106" i="1"/>
  <c r="A7105" i="1"/>
  <c r="A7104" i="1"/>
  <c r="A7103" i="1"/>
  <c r="A7102" i="1"/>
  <c r="A7101" i="1"/>
  <c r="A7100" i="1"/>
  <c r="A7099" i="1"/>
  <c r="A7098" i="1"/>
  <c r="A7097" i="1"/>
  <c r="A7096" i="1"/>
  <c r="A7095" i="1"/>
  <c r="A7094" i="1"/>
  <c r="A7093" i="1"/>
  <c r="A7092" i="1"/>
  <c r="A7091" i="1"/>
  <c r="A7090" i="1"/>
  <c r="A7089" i="1"/>
  <c r="A7088" i="1"/>
  <c r="A7087" i="1"/>
  <c r="A7086" i="1"/>
  <c r="A7085" i="1"/>
  <c r="A7084" i="1"/>
  <c r="A7083" i="1"/>
  <c r="A7082" i="1"/>
  <c r="A7081" i="1"/>
  <c r="A7080" i="1"/>
  <c r="A7079" i="1"/>
  <c r="A7078" i="1"/>
  <c r="A7077" i="1"/>
  <c r="A7076" i="1"/>
  <c r="A7075" i="1"/>
  <c r="A7074" i="1"/>
  <c r="A7073" i="1"/>
  <c r="A7072" i="1"/>
  <c r="A7071" i="1"/>
  <c r="A7070" i="1"/>
  <c r="A7069" i="1"/>
  <c r="A7068" i="1"/>
  <c r="A7067" i="1"/>
  <c r="A7066" i="1"/>
  <c r="A7065" i="1"/>
  <c r="A7064" i="1"/>
  <c r="A7063" i="1"/>
  <c r="A7062" i="1"/>
  <c r="A7061" i="1"/>
  <c r="A7060" i="1"/>
  <c r="A7059" i="1"/>
  <c r="A7058" i="1"/>
  <c r="A7057" i="1"/>
  <c r="A7056" i="1"/>
  <c r="A7055" i="1"/>
  <c r="A7054" i="1"/>
  <c r="A7053" i="1"/>
  <c r="A7052" i="1"/>
  <c r="A7051" i="1"/>
  <c r="A7050" i="1"/>
  <c r="A7049" i="1"/>
  <c r="A7048" i="1"/>
  <c r="A7047" i="1"/>
  <c r="A7046" i="1"/>
  <c r="A7045" i="1"/>
  <c r="A7044" i="1"/>
  <c r="A7043" i="1"/>
  <c r="A7042" i="1"/>
  <c r="A7041" i="1"/>
  <c r="A7040" i="1"/>
  <c r="A7039" i="1"/>
  <c r="A7038" i="1"/>
  <c r="A7037" i="1"/>
  <c r="A7036" i="1"/>
  <c r="A7035" i="1"/>
  <c r="A7034" i="1"/>
  <c r="A7033" i="1"/>
  <c r="A7032" i="1"/>
  <c r="A7031" i="1"/>
  <c r="A7030" i="1"/>
  <c r="A7029" i="1"/>
  <c r="A7028" i="1"/>
  <c r="A7027" i="1"/>
  <c r="A7026" i="1"/>
  <c r="A7025" i="1"/>
  <c r="A7024" i="1"/>
  <c r="A7023" i="1"/>
  <c r="A7022" i="1"/>
  <c r="A7021" i="1"/>
  <c r="A7020" i="1"/>
  <c r="A7019" i="1"/>
  <c r="A7018" i="1"/>
  <c r="A7017" i="1"/>
  <c r="A7016" i="1"/>
  <c r="A7015" i="1"/>
  <c r="A7014" i="1"/>
  <c r="A7013" i="1"/>
  <c r="A7012" i="1"/>
  <c r="A7011" i="1"/>
  <c r="A7010" i="1"/>
  <c r="A7009" i="1"/>
  <c r="A7008" i="1"/>
  <c r="A7007" i="1"/>
  <c r="A7006" i="1"/>
  <c r="A7005" i="1"/>
  <c r="A7004" i="1"/>
  <c r="A7003" i="1"/>
  <c r="A7002" i="1"/>
  <c r="A7001" i="1"/>
  <c r="A7000" i="1"/>
  <c r="A6999" i="1"/>
  <c r="A6998" i="1"/>
  <c r="A6997" i="1"/>
  <c r="A6996" i="1"/>
  <c r="A6995" i="1"/>
  <c r="A6994" i="1"/>
  <c r="A6993" i="1"/>
  <c r="A6992" i="1"/>
  <c r="A6991" i="1"/>
  <c r="A6990" i="1"/>
  <c r="A6989" i="1"/>
  <c r="A6988" i="1"/>
  <c r="A6987" i="1"/>
  <c r="A6986" i="1"/>
  <c r="A6985" i="1"/>
  <c r="A6984" i="1"/>
  <c r="A6983" i="1"/>
  <c r="A6982" i="1"/>
  <c r="A6981" i="1"/>
  <c r="A6980" i="1"/>
  <c r="A6979" i="1"/>
  <c r="A6978" i="1"/>
  <c r="A6977" i="1"/>
  <c r="A6976" i="1"/>
  <c r="A6975" i="1"/>
  <c r="A6974" i="1"/>
  <c r="A6973" i="1"/>
  <c r="A6972" i="1"/>
  <c r="A6971" i="1"/>
  <c r="A6970" i="1"/>
  <c r="A6969" i="1"/>
  <c r="A6968" i="1"/>
  <c r="A6967" i="1"/>
  <c r="A6966" i="1"/>
  <c r="A6965" i="1"/>
  <c r="A6964" i="1"/>
  <c r="A6963" i="1"/>
  <c r="A6962" i="1"/>
  <c r="A6961" i="1"/>
  <c r="A6960" i="1"/>
  <c r="A6959" i="1"/>
  <c r="A6958" i="1"/>
  <c r="A6957" i="1"/>
  <c r="A6956" i="1"/>
  <c r="A6955" i="1"/>
  <c r="A6954" i="1"/>
  <c r="A6953" i="1"/>
  <c r="A6952" i="1"/>
  <c r="A6951" i="1"/>
  <c r="A6950" i="1"/>
  <c r="A6949" i="1"/>
  <c r="A6948" i="1"/>
  <c r="A6947" i="1"/>
  <c r="A6946" i="1"/>
  <c r="A6945" i="1"/>
  <c r="A6944" i="1"/>
  <c r="A6943" i="1"/>
  <c r="A6942" i="1"/>
  <c r="A6941" i="1"/>
  <c r="A6940" i="1"/>
  <c r="A6939" i="1"/>
  <c r="A6938" i="1"/>
  <c r="A6937" i="1"/>
  <c r="A6936" i="1"/>
  <c r="A6935" i="1"/>
  <c r="A6934" i="1"/>
  <c r="A6933" i="1"/>
  <c r="A6932" i="1"/>
  <c r="A6931" i="1"/>
  <c r="A6930" i="1"/>
  <c r="A6929" i="1"/>
  <c r="A6928" i="1"/>
  <c r="A6927" i="1"/>
  <c r="A6926" i="1"/>
  <c r="A6925" i="1"/>
  <c r="A6924" i="1"/>
  <c r="A6923" i="1"/>
  <c r="A6922" i="1"/>
  <c r="A6921" i="1"/>
  <c r="A6920" i="1"/>
  <c r="A6919" i="1"/>
  <c r="A6918" i="1"/>
  <c r="A6917" i="1"/>
  <c r="A6916" i="1"/>
  <c r="A6915" i="1"/>
  <c r="A6914" i="1"/>
  <c r="A6913" i="1"/>
  <c r="A6912" i="1"/>
  <c r="A6911" i="1"/>
  <c r="A6910" i="1"/>
  <c r="A6909" i="1"/>
  <c r="A6908" i="1"/>
  <c r="A6907" i="1"/>
  <c r="A6906" i="1"/>
  <c r="A6905" i="1"/>
  <c r="A6904" i="1"/>
  <c r="A6903" i="1"/>
  <c r="A6902" i="1"/>
  <c r="A6901" i="1"/>
  <c r="A6900" i="1"/>
  <c r="A6899" i="1"/>
  <c r="A6898" i="1"/>
  <c r="A6897" i="1"/>
  <c r="A6896" i="1"/>
  <c r="A6895" i="1"/>
  <c r="A6894" i="1"/>
  <c r="A6893" i="1"/>
  <c r="A6892" i="1"/>
  <c r="A6891" i="1"/>
  <c r="A6890" i="1"/>
  <c r="A6889" i="1"/>
  <c r="A6888" i="1"/>
  <c r="A6887" i="1"/>
  <c r="A6886" i="1"/>
  <c r="A6885" i="1"/>
  <c r="A6884" i="1"/>
  <c r="A6883" i="1"/>
  <c r="A6882" i="1"/>
  <c r="A6881" i="1"/>
  <c r="A6880" i="1"/>
  <c r="A6879" i="1"/>
  <c r="A6878" i="1"/>
  <c r="A6877" i="1"/>
  <c r="A6876" i="1"/>
  <c r="A6875" i="1"/>
  <c r="A6874" i="1"/>
  <c r="A6873" i="1"/>
  <c r="A6872" i="1"/>
  <c r="A6871" i="1"/>
  <c r="A6870" i="1"/>
  <c r="A6869" i="1"/>
  <c r="A6868" i="1"/>
  <c r="A6867" i="1"/>
  <c r="A6866" i="1"/>
  <c r="A6865" i="1"/>
  <c r="A6864" i="1"/>
  <c r="A6863" i="1"/>
  <c r="A6862" i="1"/>
  <c r="A6861" i="1"/>
  <c r="A6860" i="1"/>
  <c r="A6859" i="1"/>
  <c r="A6858" i="1"/>
  <c r="A6857" i="1"/>
  <c r="A6856" i="1"/>
  <c r="A6855" i="1"/>
  <c r="A6854" i="1"/>
  <c r="A6853" i="1"/>
  <c r="A6852" i="1"/>
  <c r="A6851" i="1"/>
  <c r="A6850" i="1"/>
  <c r="A6849" i="1"/>
  <c r="A6848" i="1"/>
  <c r="A6847" i="1"/>
  <c r="A6846" i="1"/>
  <c r="A6845" i="1"/>
  <c r="A6844" i="1"/>
  <c r="A6843" i="1"/>
  <c r="A6842" i="1"/>
  <c r="A6841" i="1"/>
  <c r="A6840" i="1"/>
  <c r="A6839" i="1"/>
  <c r="A6838" i="1"/>
  <c r="A6837" i="1"/>
  <c r="A6836" i="1"/>
  <c r="A6835" i="1"/>
  <c r="A6834" i="1"/>
  <c r="A6833" i="1"/>
  <c r="A6832" i="1"/>
  <c r="A6831" i="1"/>
  <c r="A6830" i="1"/>
  <c r="A6829" i="1"/>
  <c r="A6828" i="1"/>
  <c r="A6827" i="1"/>
  <c r="A6826" i="1"/>
  <c r="A6825" i="1"/>
  <c r="A6824" i="1"/>
  <c r="A6823" i="1"/>
  <c r="A6822" i="1"/>
  <c r="A6821" i="1"/>
  <c r="A6820" i="1"/>
  <c r="A6819" i="1"/>
  <c r="A6818" i="1"/>
  <c r="A6817" i="1"/>
  <c r="A6816" i="1"/>
  <c r="A6815" i="1"/>
  <c r="A6814" i="1"/>
  <c r="A6813" i="1"/>
  <c r="A6812" i="1"/>
  <c r="A6811" i="1"/>
  <c r="A6810" i="1"/>
  <c r="A6809" i="1"/>
  <c r="A6808" i="1"/>
  <c r="A6807" i="1"/>
  <c r="A6806" i="1"/>
  <c r="A6805" i="1"/>
  <c r="A6804" i="1"/>
  <c r="A6803" i="1"/>
  <c r="A6802" i="1"/>
  <c r="A6801" i="1"/>
  <c r="A6800" i="1"/>
  <c r="A6799" i="1"/>
  <c r="A6798" i="1"/>
  <c r="A6797" i="1"/>
  <c r="A6796" i="1"/>
  <c r="A6795" i="1"/>
  <c r="A6794" i="1"/>
  <c r="A6793" i="1"/>
  <c r="A6792" i="1"/>
  <c r="A6791" i="1"/>
  <c r="A6790" i="1"/>
  <c r="A6789" i="1"/>
  <c r="A6788" i="1"/>
  <c r="A6787" i="1"/>
  <c r="A6786" i="1"/>
  <c r="A6785" i="1"/>
  <c r="A6784" i="1"/>
  <c r="A6783" i="1"/>
  <c r="A6782" i="1"/>
  <c r="A6781" i="1"/>
  <c r="A6780" i="1"/>
  <c r="A6779" i="1"/>
  <c r="A6778" i="1"/>
  <c r="A6777" i="1"/>
  <c r="A6776" i="1"/>
  <c r="A6775" i="1"/>
  <c r="A6774" i="1"/>
  <c r="A6773" i="1"/>
  <c r="A6772" i="1"/>
  <c r="A6771" i="1"/>
  <c r="A6770" i="1"/>
  <c r="A6769" i="1"/>
  <c r="A6768" i="1"/>
  <c r="A6767" i="1"/>
  <c r="A6766" i="1"/>
  <c r="A6765" i="1"/>
  <c r="A6764" i="1"/>
  <c r="A6763" i="1"/>
  <c r="A6762" i="1"/>
  <c r="A6761" i="1"/>
  <c r="A6760" i="1"/>
  <c r="A6759" i="1"/>
  <c r="A6758" i="1"/>
  <c r="A6757" i="1"/>
  <c r="A6756" i="1"/>
  <c r="A6755" i="1"/>
  <c r="A6754" i="1"/>
  <c r="A6753" i="1"/>
  <c r="A6752" i="1"/>
  <c r="A6751" i="1"/>
  <c r="A6750" i="1"/>
  <c r="A6749" i="1"/>
  <c r="A6748" i="1"/>
  <c r="A6747" i="1"/>
  <c r="A6746" i="1"/>
  <c r="A6745" i="1"/>
  <c r="A6744" i="1"/>
  <c r="A6743" i="1"/>
  <c r="A6742" i="1"/>
  <c r="A6741" i="1"/>
  <c r="A6740" i="1"/>
  <c r="A6739" i="1"/>
  <c r="A6738" i="1"/>
  <c r="A6737" i="1"/>
  <c r="A6736" i="1"/>
  <c r="A6735" i="1"/>
  <c r="A6734" i="1"/>
  <c r="A6733" i="1"/>
  <c r="A6732" i="1"/>
  <c r="A6731" i="1"/>
  <c r="A6730" i="1"/>
  <c r="A6729" i="1"/>
  <c r="A6728" i="1"/>
  <c r="A6727" i="1"/>
  <c r="A6726" i="1"/>
  <c r="A6725" i="1"/>
  <c r="A6724" i="1"/>
  <c r="A6723" i="1"/>
  <c r="A6722" i="1"/>
  <c r="A6721" i="1"/>
  <c r="A6720" i="1"/>
  <c r="A6719" i="1"/>
  <c r="A6718" i="1"/>
  <c r="A6717" i="1"/>
  <c r="A6716" i="1"/>
  <c r="A6715" i="1"/>
  <c r="A6714" i="1"/>
  <c r="A6713" i="1"/>
  <c r="A6712" i="1"/>
  <c r="A6711" i="1"/>
  <c r="A6710" i="1"/>
  <c r="A6709" i="1"/>
  <c r="A6708" i="1"/>
  <c r="A6707" i="1"/>
  <c r="A6706" i="1"/>
  <c r="A6705" i="1"/>
  <c r="A6704" i="1"/>
  <c r="A6703" i="1"/>
  <c r="A6702" i="1"/>
  <c r="A6701" i="1"/>
  <c r="A6700" i="1"/>
  <c r="A6699" i="1"/>
  <c r="A6698" i="1"/>
  <c r="A6697" i="1"/>
  <c r="A6696" i="1"/>
  <c r="A6695" i="1"/>
  <c r="A6694" i="1"/>
  <c r="A6693" i="1"/>
  <c r="A6692" i="1"/>
  <c r="A6691" i="1"/>
  <c r="A6690" i="1"/>
  <c r="A6689" i="1"/>
  <c r="A6688" i="1"/>
  <c r="A6687" i="1"/>
  <c r="A6686" i="1"/>
  <c r="A6685" i="1"/>
  <c r="A6684" i="1"/>
  <c r="A6683" i="1"/>
  <c r="A6682" i="1"/>
  <c r="A6681" i="1"/>
  <c r="A6680" i="1"/>
  <c r="A6679" i="1"/>
  <c r="A6678" i="1"/>
  <c r="A6677" i="1"/>
  <c r="A6676" i="1"/>
  <c r="A6675" i="1"/>
  <c r="A6674" i="1"/>
  <c r="A6673" i="1"/>
  <c r="A6672" i="1"/>
  <c r="A6671" i="1"/>
  <c r="A6670" i="1"/>
  <c r="A6669" i="1"/>
  <c r="A6668" i="1"/>
  <c r="A6667" i="1"/>
  <c r="A6666" i="1"/>
  <c r="A6665" i="1"/>
  <c r="A6664" i="1"/>
  <c r="A6663" i="1"/>
  <c r="A6662" i="1"/>
  <c r="A6661" i="1"/>
  <c r="A6660" i="1"/>
  <c r="A6659" i="1"/>
  <c r="A6658" i="1"/>
  <c r="A6657" i="1"/>
  <c r="A6656" i="1"/>
  <c r="A6655" i="1"/>
  <c r="A6654" i="1"/>
  <c r="A6653" i="1"/>
  <c r="A6652" i="1"/>
  <c r="A6651" i="1"/>
  <c r="A6650" i="1"/>
  <c r="A6649" i="1"/>
  <c r="A6648" i="1"/>
  <c r="A6647" i="1"/>
  <c r="A6646" i="1"/>
  <c r="A6645" i="1"/>
  <c r="A6644" i="1"/>
  <c r="A6643" i="1"/>
  <c r="A6642" i="1"/>
  <c r="A6641" i="1"/>
  <c r="A6640" i="1"/>
  <c r="A6639" i="1"/>
  <c r="A6638" i="1"/>
  <c r="A6637" i="1"/>
  <c r="A6636" i="1"/>
  <c r="A6635" i="1"/>
  <c r="A6634" i="1"/>
  <c r="A6633" i="1"/>
  <c r="A6632" i="1"/>
  <c r="A6631" i="1"/>
  <c r="A6630" i="1"/>
  <c r="A6629" i="1"/>
  <c r="A6628" i="1"/>
  <c r="A6627" i="1"/>
  <c r="A6626" i="1"/>
  <c r="A6625" i="1"/>
  <c r="A6624" i="1"/>
  <c r="A6623" i="1"/>
  <c r="A6622" i="1"/>
  <c r="A6621" i="1"/>
  <c r="A6620" i="1"/>
  <c r="A6619" i="1"/>
  <c r="A6618" i="1"/>
  <c r="A6617" i="1"/>
  <c r="A6616" i="1"/>
  <c r="A6615" i="1"/>
  <c r="A6614" i="1"/>
  <c r="A6613" i="1"/>
  <c r="A6612" i="1"/>
  <c r="A6611" i="1"/>
  <c r="A6610" i="1"/>
  <c r="A6609" i="1"/>
  <c r="A6608" i="1"/>
  <c r="A6607" i="1"/>
  <c r="A6606" i="1"/>
  <c r="A6605" i="1"/>
  <c r="A6604" i="1"/>
  <c r="A6603" i="1"/>
  <c r="A6602" i="1"/>
  <c r="A6601" i="1"/>
  <c r="A6600" i="1"/>
  <c r="A6599" i="1"/>
  <c r="A6598" i="1"/>
  <c r="A6597" i="1"/>
  <c r="A6596" i="1"/>
  <c r="A6595" i="1"/>
  <c r="A6594" i="1"/>
  <c r="A6593" i="1"/>
  <c r="A6592" i="1"/>
  <c r="A6591" i="1"/>
  <c r="A6590" i="1"/>
  <c r="A6589" i="1"/>
  <c r="A6588" i="1"/>
  <c r="A6587" i="1"/>
  <c r="A6586" i="1"/>
  <c r="A6585" i="1"/>
  <c r="A6584" i="1"/>
  <c r="A6583" i="1"/>
  <c r="A6582" i="1"/>
  <c r="A6581" i="1"/>
  <c r="A6580" i="1"/>
  <c r="A6579" i="1"/>
  <c r="A6578" i="1"/>
  <c r="A6577" i="1"/>
  <c r="A6576" i="1"/>
  <c r="A6575" i="1"/>
  <c r="A6574" i="1"/>
  <c r="A6573" i="1"/>
  <c r="A6572" i="1"/>
  <c r="A6571" i="1"/>
  <c r="A6570" i="1"/>
  <c r="A6569" i="1"/>
  <c r="A6568" i="1"/>
  <c r="A6567" i="1"/>
  <c r="A6566" i="1"/>
  <c r="A6565" i="1"/>
  <c r="A6564" i="1"/>
  <c r="A6563" i="1"/>
  <c r="A6562" i="1"/>
  <c r="A6561" i="1"/>
  <c r="A6560" i="1"/>
  <c r="A6559" i="1"/>
  <c r="A6558" i="1"/>
  <c r="A6557" i="1"/>
  <c r="A6556" i="1"/>
  <c r="A6555" i="1"/>
  <c r="A6554" i="1"/>
  <c r="A6553" i="1"/>
  <c r="A6552" i="1"/>
  <c r="A6551" i="1"/>
  <c r="A6550" i="1"/>
  <c r="A6549" i="1"/>
  <c r="A6548" i="1"/>
  <c r="A6547" i="1"/>
  <c r="A6546" i="1"/>
  <c r="A6545" i="1"/>
  <c r="A6544" i="1"/>
  <c r="A6543" i="1"/>
  <c r="A6542" i="1"/>
  <c r="A6541" i="1"/>
  <c r="A6540" i="1"/>
  <c r="A6539" i="1"/>
  <c r="A6538" i="1"/>
  <c r="A6537" i="1"/>
  <c r="A6536" i="1"/>
  <c r="A6535" i="1"/>
  <c r="A6534" i="1"/>
  <c r="A6533" i="1"/>
  <c r="A6532" i="1"/>
  <c r="A6531" i="1"/>
  <c r="A6530" i="1"/>
  <c r="A6529" i="1"/>
  <c r="A6528" i="1"/>
  <c r="A6527" i="1"/>
  <c r="A6526" i="1"/>
  <c r="A6525" i="1"/>
  <c r="A6524" i="1"/>
  <c r="A6523" i="1"/>
  <c r="A6522" i="1"/>
  <c r="A6521" i="1"/>
  <c r="A6520" i="1"/>
  <c r="A6519" i="1"/>
  <c r="A6518" i="1"/>
  <c r="A6517" i="1"/>
  <c r="A6516" i="1"/>
  <c r="A6515" i="1"/>
  <c r="A6514" i="1"/>
  <c r="A6513" i="1"/>
  <c r="A6512" i="1"/>
  <c r="A6511" i="1"/>
  <c r="A6510" i="1"/>
  <c r="A6509" i="1"/>
  <c r="A6508" i="1"/>
  <c r="A6507" i="1"/>
  <c r="A6506" i="1"/>
  <c r="A6505" i="1"/>
  <c r="A6504" i="1"/>
  <c r="A6503" i="1"/>
  <c r="A6502" i="1"/>
  <c r="A6501" i="1"/>
  <c r="A6500" i="1"/>
  <c r="A6499" i="1"/>
  <c r="A6498" i="1"/>
  <c r="A6497" i="1"/>
  <c r="A6496" i="1"/>
  <c r="A6495" i="1"/>
  <c r="A6494" i="1"/>
  <c r="A6493" i="1"/>
  <c r="A6492" i="1"/>
  <c r="A6491" i="1"/>
  <c r="A6490" i="1"/>
  <c r="A6489" i="1"/>
  <c r="A6488" i="1"/>
  <c r="A6487" i="1"/>
  <c r="A6486" i="1"/>
  <c r="A6485" i="1"/>
  <c r="A6484" i="1"/>
  <c r="A6483" i="1"/>
  <c r="A6482" i="1"/>
  <c r="A6481" i="1"/>
  <c r="A6480" i="1"/>
  <c r="A6479" i="1"/>
  <c r="A6478" i="1"/>
  <c r="A6477" i="1"/>
  <c r="A6476" i="1"/>
  <c r="A6475" i="1"/>
  <c r="A6474" i="1"/>
  <c r="A6473" i="1"/>
  <c r="A6472" i="1"/>
  <c r="A6471" i="1"/>
  <c r="A6470" i="1"/>
  <c r="A6469" i="1"/>
  <c r="A6468" i="1"/>
  <c r="A6467" i="1"/>
  <c r="A6466" i="1"/>
  <c r="A6465" i="1"/>
  <c r="A6464" i="1"/>
  <c r="A6463" i="1"/>
  <c r="A6462" i="1"/>
  <c r="A6461" i="1"/>
  <c r="A6460" i="1"/>
  <c r="A6459" i="1"/>
  <c r="A6458" i="1"/>
  <c r="A6457" i="1"/>
  <c r="A6456" i="1"/>
  <c r="A6455" i="1"/>
  <c r="A6454" i="1"/>
  <c r="A6453" i="1"/>
  <c r="A6452" i="1"/>
  <c r="A6451" i="1"/>
  <c r="A6450" i="1"/>
  <c r="A6449" i="1"/>
  <c r="A6448" i="1"/>
  <c r="A6447" i="1"/>
  <c r="A6446" i="1"/>
  <c r="A6445" i="1"/>
  <c r="A6444" i="1"/>
  <c r="A6443" i="1"/>
  <c r="A6442" i="1"/>
  <c r="A6441" i="1"/>
  <c r="A6440" i="1"/>
  <c r="A6439" i="1"/>
  <c r="A6438" i="1"/>
  <c r="A6437" i="1"/>
  <c r="A6436" i="1"/>
  <c r="A6435" i="1"/>
  <c r="A6434" i="1"/>
  <c r="A6433" i="1"/>
  <c r="A6432" i="1"/>
  <c r="A6431" i="1"/>
  <c r="A6430" i="1"/>
  <c r="A6429" i="1"/>
  <c r="A6428" i="1"/>
  <c r="A6427" i="1"/>
  <c r="A6426" i="1"/>
  <c r="A6425" i="1"/>
  <c r="A6424" i="1"/>
  <c r="A6423" i="1"/>
  <c r="A6422" i="1"/>
  <c r="A6421" i="1"/>
  <c r="A6420" i="1"/>
  <c r="A6419" i="1"/>
  <c r="A6418" i="1"/>
  <c r="A6417" i="1"/>
  <c r="A6416" i="1"/>
  <c r="A6415" i="1"/>
  <c r="A6414" i="1"/>
  <c r="A6413" i="1"/>
  <c r="A6412" i="1"/>
  <c r="A6411" i="1"/>
  <c r="A6410" i="1"/>
  <c r="A6409" i="1"/>
  <c r="A6408" i="1"/>
  <c r="A6407" i="1"/>
  <c r="A6406" i="1"/>
  <c r="A6405" i="1"/>
  <c r="A6404" i="1"/>
  <c r="A6403" i="1"/>
  <c r="A6402" i="1"/>
  <c r="A6401" i="1"/>
  <c r="A6400" i="1"/>
  <c r="A6399" i="1"/>
  <c r="A6398" i="1"/>
  <c r="A6397" i="1"/>
  <c r="A6396" i="1"/>
  <c r="A6395" i="1"/>
  <c r="A6394" i="1"/>
  <c r="A6393" i="1"/>
  <c r="A6392" i="1"/>
  <c r="A6391" i="1"/>
  <c r="A6390" i="1"/>
  <c r="A6389" i="1"/>
  <c r="A6388" i="1"/>
  <c r="A6387" i="1"/>
  <c r="A6386" i="1"/>
  <c r="A6385" i="1"/>
  <c r="A6384" i="1"/>
  <c r="A6383" i="1"/>
  <c r="A6382" i="1"/>
  <c r="A6381" i="1"/>
  <c r="A6380" i="1"/>
  <c r="A6379" i="1"/>
  <c r="A6378" i="1"/>
  <c r="A6377" i="1"/>
  <c r="A6376" i="1"/>
  <c r="A6375" i="1"/>
  <c r="A6374" i="1"/>
  <c r="A6373" i="1"/>
  <c r="A6372" i="1"/>
  <c r="A6371" i="1"/>
  <c r="A6370" i="1"/>
  <c r="A6369" i="1"/>
  <c r="A6368" i="1"/>
  <c r="A6367" i="1"/>
  <c r="A6366" i="1"/>
  <c r="A6365" i="1"/>
  <c r="A6364" i="1"/>
  <c r="A6363" i="1"/>
  <c r="A6362" i="1"/>
  <c r="A6361" i="1"/>
  <c r="A6360" i="1"/>
  <c r="A6359" i="1"/>
  <c r="A6358" i="1"/>
  <c r="A6357" i="1"/>
  <c r="A6356" i="1"/>
  <c r="A6355" i="1"/>
  <c r="A6354" i="1"/>
  <c r="A6353" i="1"/>
  <c r="A6352" i="1"/>
  <c r="A6351" i="1"/>
  <c r="A6350" i="1"/>
  <c r="A6349" i="1"/>
  <c r="A6348" i="1"/>
  <c r="A6347" i="1"/>
  <c r="A6346" i="1"/>
  <c r="A6345" i="1"/>
  <c r="A6344" i="1"/>
  <c r="A6343" i="1"/>
  <c r="A6342" i="1"/>
  <c r="A6341" i="1"/>
  <c r="A6340" i="1"/>
  <c r="A6339" i="1"/>
  <c r="A6338" i="1"/>
  <c r="A6337" i="1"/>
  <c r="A6336" i="1"/>
  <c r="A6335" i="1"/>
  <c r="A6334" i="1"/>
  <c r="A6333" i="1"/>
  <c r="A6332" i="1"/>
  <c r="A6331" i="1"/>
  <c r="A6330" i="1"/>
  <c r="A6329" i="1"/>
  <c r="A6328" i="1"/>
  <c r="A6327" i="1"/>
  <c r="A6326" i="1"/>
  <c r="A6325" i="1"/>
  <c r="A6324" i="1"/>
  <c r="A6323" i="1"/>
  <c r="A6322" i="1"/>
  <c r="A6321" i="1"/>
  <c r="A6320" i="1"/>
  <c r="A6319" i="1"/>
  <c r="A6318" i="1"/>
  <c r="A6317" i="1"/>
  <c r="A6316" i="1"/>
  <c r="A6315" i="1"/>
  <c r="A6314" i="1"/>
  <c r="A6313" i="1"/>
  <c r="A6312" i="1"/>
  <c r="A6311" i="1"/>
  <c r="A6310" i="1"/>
  <c r="A6309" i="1"/>
  <c r="A6308" i="1"/>
  <c r="A6307" i="1"/>
  <c r="A6306" i="1"/>
  <c r="A6305" i="1"/>
  <c r="A6304" i="1"/>
  <c r="A6303" i="1"/>
  <c r="A6302" i="1"/>
  <c r="A6301" i="1"/>
  <c r="A6300" i="1"/>
  <c r="A6299" i="1"/>
  <c r="A6298" i="1"/>
  <c r="A6297" i="1"/>
  <c r="A6296" i="1"/>
  <c r="A6295" i="1"/>
  <c r="A6294" i="1"/>
  <c r="A6293" i="1"/>
  <c r="A6292" i="1"/>
  <c r="A6291" i="1"/>
  <c r="A6290" i="1"/>
  <c r="A6289" i="1"/>
  <c r="A6288" i="1"/>
  <c r="A6287" i="1"/>
  <c r="A6286" i="1"/>
  <c r="A6285" i="1"/>
  <c r="A6284" i="1"/>
  <c r="A6283" i="1"/>
  <c r="A6282" i="1"/>
  <c r="A6281" i="1"/>
  <c r="A6280" i="1"/>
  <c r="A6279" i="1"/>
  <c r="A6278" i="1"/>
  <c r="A6277" i="1"/>
  <c r="A6276" i="1"/>
  <c r="A6275" i="1"/>
  <c r="A6274" i="1"/>
  <c r="A6273" i="1"/>
  <c r="A6272" i="1"/>
  <c r="A6271" i="1"/>
  <c r="A6270" i="1"/>
  <c r="A6269" i="1"/>
  <c r="A6268" i="1"/>
  <c r="A6267" i="1"/>
  <c r="A6266" i="1"/>
  <c r="A6265" i="1"/>
  <c r="A6264" i="1"/>
  <c r="A6263" i="1"/>
  <c r="A6262" i="1"/>
  <c r="A6261" i="1"/>
  <c r="A6260" i="1"/>
  <c r="A6259" i="1"/>
  <c r="A6258" i="1"/>
  <c r="A6257" i="1"/>
  <c r="A6256" i="1"/>
  <c r="A6255" i="1"/>
  <c r="A6254" i="1"/>
  <c r="A6253" i="1"/>
  <c r="A6252" i="1"/>
  <c r="A6251" i="1"/>
  <c r="A6250" i="1"/>
  <c r="A6249" i="1"/>
  <c r="A6248" i="1"/>
  <c r="A6247" i="1"/>
  <c r="A6246" i="1"/>
  <c r="A6245" i="1"/>
  <c r="A6244" i="1"/>
  <c r="A6243" i="1"/>
  <c r="A6242" i="1"/>
  <c r="A6241" i="1"/>
  <c r="A6240" i="1"/>
  <c r="A6239" i="1"/>
  <c r="A6238" i="1"/>
  <c r="A6237" i="1"/>
  <c r="A6236" i="1"/>
  <c r="A6235" i="1"/>
  <c r="A6234" i="1"/>
  <c r="A6233" i="1"/>
  <c r="A6232" i="1"/>
  <c r="A6231" i="1"/>
  <c r="A6230" i="1"/>
  <c r="A6229" i="1"/>
  <c r="A6228" i="1"/>
  <c r="A6227" i="1"/>
  <c r="A6226" i="1"/>
  <c r="A6225" i="1"/>
  <c r="A6224" i="1"/>
  <c r="A6223" i="1"/>
  <c r="A6222" i="1"/>
  <c r="A6221" i="1"/>
  <c r="A6220" i="1"/>
  <c r="A6219" i="1"/>
  <c r="A6218" i="1"/>
  <c r="A6217" i="1"/>
  <c r="A6216" i="1"/>
  <c r="A6215" i="1"/>
  <c r="A6214" i="1"/>
  <c r="A6213" i="1"/>
  <c r="A6212" i="1"/>
  <c r="A6211" i="1"/>
  <c r="A6210" i="1"/>
  <c r="A6209" i="1"/>
  <c r="A6208" i="1"/>
  <c r="A6207" i="1"/>
  <c r="A6206" i="1"/>
  <c r="A6205" i="1"/>
  <c r="A6204" i="1"/>
  <c r="A6203" i="1"/>
  <c r="A6202" i="1"/>
  <c r="A6201" i="1"/>
  <c r="A6200" i="1"/>
  <c r="A6199" i="1"/>
  <c r="A6198" i="1"/>
  <c r="A6197" i="1"/>
  <c r="A6196" i="1"/>
  <c r="A6195" i="1"/>
  <c r="A6194" i="1"/>
  <c r="A6193" i="1"/>
  <c r="A6192" i="1"/>
  <c r="A6191" i="1"/>
  <c r="A6190" i="1"/>
  <c r="A6189" i="1"/>
  <c r="A6188" i="1"/>
  <c r="A6187" i="1"/>
  <c r="A6186" i="1"/>
  <c r="A6185" i="1"/>
  <c r="A6184" i="1"/>
  <c r="A6183" i="1"/>
  <c r="A6182" i="1"/>
  <c r="A6181" i="1"/>
  <c r="A6180" i="1"/>
  <c r="A6179" i="1"/>
  <c r="A6178" i="1"/>
  <c r="A6177" i="1"/>
  <c r="A6176" i="1"/>
  <c r="A6175" i="1"/>
  <c r="A6174" i="1"/>
  <c r="A6173" i="1"/>
  <c r="A6172" i="1"/>
  <c r="A6171" i="1"/>
  <c r="A6170" i="1"/>
  <c r="A6169" i="1"/>
  <c r="A6168" i="1"/>
  <c r="A6167" i="1"/>
  <c r="A6166" i="1"/>
  <c r="A6165" i="1"/>
  <c r="A6164" i="1"/>
  <c r="A6163" i="1"/>
  <c r="A6162" i="1"/>
  <c r="A6161" i="1"/>
  <c r="A6160" i="1"/>
  <c r="A6159" i="1"/>
  <c r="A6158" i="1"/>
  <c r="A6157" i="1"/>
  <c r="A6156" i="1"/>
  <c r="A6155" i="1"/>
  <c r="A6154" i="1"/>
  <c r="A6153" i="1"/>
  <c r="A6152" i="1"/>
  <c r="A6151" i="1"/>
  <c r="A6150" i="1"/>
  <c r="A6149" i="1"/>
  <c r="A6148" i="1"/>
  <c r="A6147" i="1"/>
  <c r="A6146" i="1"/>
  <c r="A6145" i="1"/>
  <c r="A6144" i="1"/>
  <c r="A6143" i="1"/>
  <c r="A6142" i="1"/>
  <c r="A6141" i="1"/>
  <c r="A6140" i="1"/>
  <c r="A6139" i="1"/>
  <c r="A6138" i="1"/>
  <c r="A6137" i="1"/>
  <c r="A6136" i="1"/>
  <c r="A6135" i="1"/>
  <c r="A6134" i="1"/>
  <c r="A6133" i="1"/>
  <c r="A6132" i="1"/>
  <c r="A6131" i="1"/>
  <c r="A6130" i="1"/>
  <c r="A6129" i="1"/>
  <c r="A6128" i="1"/>
  <c r="A6127" i="1"/>
  <c r="A6126" i="1"/>
  <c r="A6125" i="1"/>
  <c r="A6124" i="1"/>
  <c r="A6123" i="1"/>
  <c r="A6122" i="1"/>
  <c r="A6121" i="1"/>
  <c r="A6120" i="1"/>
  <c r="A6119" i="1"/>
  <c r="A6118" i="1"/>
  <c r="A6117" i="1"/>
  <c r="A6116" i="1"/>
  <c r="A6115" i="1"/>
  <c r="A6114" i="1"/>
  <c r="A6113" i="1"/>
  <c r="A6112" i="1"/>
  <c r="A6111" i="1"/>
  <c r="A6110" i="1"/>
  <c r="A6109" i="1"/>
  <c r="A6108" i="1"/>
  <c r="A6107" i="1"/>
  <c r="A6106" i="1"/>
  <c r="A6105" i="1"/>
  <c r="A6104" i="1"/>
  <c r="A6103" i="1"/>
  <c r="A6102" i="1"/>
  <c r="A6101" i="1"/>
  <c r="A6100" i="1"/>
  <c r="A6099" i="1"/>
  <c r="A6098" i="1"/>
  <c r="A6097" i="1"/>
  <c r="A6096" i="1"/>
  <c r="A6095" i="1"/>
  <c r="A6094" i="1"/>
  <c r="A6093" i="1"/>
  <c r="A6092" i="1"/>
  <c r="A6091" i="1"/>
  <c r="A6090" i="1"/>
  <c r="A6089" i="1"/>
  <c r="A6088" i="1"/>
  <c r="A6087" i="1"/>
  <c r="A6086" i="1"/>
  <c r="A6085" i="1"/>
  <c r="A6084" i="1"/>
  <c r="A6083" i="1"/>
  <c r="A6082" i="1"/>
  <c r="A6081" i="1"/>
  <c r="A6080" i="1"/>
  <c r="A6079" i="1"/>
  <c r="A6078" i="1"/>
  <c r="A6077" i="1"/>
  <c r="A6076" i="1"/>
  <c r="A6075" i="1"/>
  <c r="A6074" i="1"/>
  <c r="A6073" i="1"/>
  <c r="A6072" i="1"/>
  <c r="A6071" i="1"/>
  <c r="A6070" i="1"/>
  <c r="A6069" i="1"/>
  <c r="A6068" i="1"/>
  <c r="A6067" i="1"/>
  <c r="A6066" i="1"/>
  <c r="A6065" i="1"/>
  <c r="A6064" i="1"/>
  <c r="A6063" i="1"/>
  <c r="A6062" i="1"/>
  <c r="A6061" i="1"/>
  <c r="A6060" i="1"/>
  <c r="A6059" i="1"/>
  <c r="A6058" i="1"/>
  <c r="A6057" i="1"/>
  <c r="A6056" i="1"/>
  <c r="A6055" i="1"/>
  <c r="A6054" i="1"/>
  <c r="A6053" i="1"/>
  <c r="A6052" i="1"/>
  <c r="A6051" i="1"/>
  <c r="A6050" i="1"/>
  <c r="A6049" i="1"/>
  <c r="A6048" i="1"/>
  <c r="A6047" i="1"/>
  <c r="A6046" i="1"/>
  <c r="A6045" i="1"/>
  <c r="A6044" i="1"/>
  <c r="A6043" i="1"/>
  <c r="A6042" i="1"/>
  <c r="A6041" i="1"/>
  <c r="A6040" i="1"/>
  <c r="A6039" i="1"/>
  <c r="A6038" i="1"/>
  <c r="A6037" i="1"/>
  <c r="A6036" i="1"/>
  <c r="A6035" i="1"/>
  <c r="A6034" i="1"/>
  <c r="A6033" i="1"/>
  <c r="A6032" i="1"/>
  <c r="A6031" i="1"/>
  <c r="A6030" i="1"/>
  <c r="A6029" i="1"/>
  <c r="A6028" i="1"/>
  <c r="A6027" i="1"/>
  <c r="A6026" i="1"/>
  <c r="A6025" i="1"/>
  <c r="A6024" i="1"/>
  <c r="A6023" i="1"/>
  <c r="A6022" i="1"/>
  <c r="A6021" i="1"/>
  <c r="A6020" i="1"/>
  <c r="A6019" i="1"/>
  <c r="A6018" i="1"/>
  <c r="A6017" i="1"/>
  <c r="A6016" i="1"/>
  <c r="A6015" i="1"/>
  <c r="A6014" i="1"/>
  <c r="A6013" i="1"/>
  <c r="A6012" i="1"/>
  <c r="A6011" i="1"/>
  <c r="A6010" i="1"/>
  <c r="A6009" i="1"/>
  <c r="A6008" i="1"/>
  <c r="A6007" i="1"/>
  <c r="A6006" i="1"/>
  <c r="A6005" i="1"/>
  <c r="A6004" i="1"/>
  <c r="A6003" i="1"/>
  <c r="A6002" i="1"/>
  <c r="A6001" i="1"/>
  <c r="A6000" i="1"/>
  <c r="A5999" i="1"/>
  <c r="A5998" i="1"/>
  <c r="A5997" i="1"/>
  <c r="A5996" i="1"/>
  <c r="A5995" i="1"/>
  <c r="A5994" i="1"/>
  <c r="A5993" i="1"/>
  <c r="A5992" i="1"/>
  <c r="A5991" i="1"/>
  <c r="A5990" i="1"/>
  <c r="A5989" i="1"/>
  <c r="A5988" i="1"/>
  <c r="A5987" i="1"/>
  <c r="A5986" i="1"/>
  <c r="A5985" i="1"/>
  <c r="A5984" i="1"/>
  <c r="A5983" i="1"/>
  <c r="A5982" i="1"/>
  <c r="A5981" i="1"/>
  <c r="A5980" i="1"/>
  <c r="A5979" i="1"/>
  <c r="A5978" i="1"/>
  <c r="A5977" i="1"/>
  <c r="A5976" i="1"/>
  <c r="A5975" i="1"/>
  <c r="A5974" i="1"/>
  <c r="A5973" i="1"/>
  <c r="A5972" i="1"/>
  <c r="A5971" i="1"/>
  <c r="A5970" i="1"/>
  <c r="A5969" i="1"/>
  <c r="A5968" i="1"/>
  <c r="A5967" i="1"/>
  <c r="A5966" i="1"/>
  <c r="A5965" i="1"/>
  <c r="A5964" i="1"/>
  <c r="A5963" i="1"/>
  <c r="A5962" i="1"/>
  <c r="A5961" i="1"/>
  <c r="A5960" i="1"/>
  <c r="A5959" i="1"/>
  <c r="A5958" i="1"/>
  <c r="A5957" i="1"/>
  <c r="A5956" i="1"/>
  <c r="A5955" i="1"/>
  <c r="A5954" i="1"/>
  <c r="A5953" i="1"/>
  <c r="A5952" i="1"/>
  <c r="A5951" i="1"/>
  <c r="A5950" i="1"/>
  <c r="A5949" i="1"/>
  <c r="A5948" i="1"/>
  <c r="A5947" i="1"/>
  <c r="A5946" i="1"/>
  <c r="A5945" i="1"/>
  <c r="A5944" i="1"/>
  <c r="A5943" i="1"/>
  <c r="A5942" i="1"/>
  <c r="A5941" i="1"/>
  <c r="A5940" i="1"/>
  <c r="A5939" i="1"/>
  <c r="A5938" i="1"/>
  <c r="A5937" i="1"/>
  <c r="A5936" i="1"/>
  <c r="A5935" i="1"/>
  <c r="A5934" i="1"/>
  <c r="A5933" i="1"/>
  <c r="A5932" i="1"/>
  <c r="A5931" i="1"/>
  <c r="A5930" i="1"/>
  <c r="A5929" i="1"/>
  <c r="A5928" i="1"/>
  <c r="A5927" i="1"/>
  <c r="A5926" i="1"/>
  <c r="A5925" i="1"/>
  <c r="A5924" i="1"/>
  <c r="A5923" i="1"/>
  <c r="A5922" i="1"/>
  <c r="A5921" i="1"/>
  <c r="A5920" i="1"/>
  <c r="A5919" i="1"/>
  <c r="A5918" i="1"/>
  <c r="A5917" i="1"/>
  <c r="A5916" i="1"/>
  <c r="A5915" i="1"/>
  <c r="A5914" i="1"/>
  <c r="A5913" i="1"/>
  <c r="A5912" i="1"/>
  <c r="A5911" i="1"/>
  <c r="A5910" i="1"/>
  <c r="A5909" i="1"/>
  <c r="A5908" i="1"/>
  <c r="A5907" i="1"/>
  <c r="A5906" i="1"/>
  <c r="A5905" i="1"/>
  <c r="A5904" i="1"/>
  <c r="A5903" i="1"/>
  <c r="A5902" i="1"/>
  <c r="A5901" i="1"/>
  <c r="A5900" i="1"/>
  <c r="A5899" i="1"/>
  <c r="A5898" i="1"/>
  <c r="A5897" i="1"/>
  <c r="A5896" i="1"/>
  <c r="A5895" i="1"/>
  <c r="A5894" i="1"/>
  <c r="A5893" i="1"/>
  <c r="A5892" i="1"/>
  <c r="A5891" i="1"/>
  <c r="A5890" i="1"/>
  <c r="A5889" i="1"/>
  <c r="A5888" i="1"/>
  <c r="A5887" i="1"/>
  <c r="A5886" i="1"/>
  <c r="A5885" i="1"/>
  <c r="A5884" i="1"/>
  <c r="A5883" i="1"/>
  <c r="A5882" i="1"/>
  <c r="A5881" i="1"/>
  <c r="A5880" i="1"/>
  <c r="A5879" i="1"/>
  <c r="A5878" i="1"/>
  <c r="A5877" i="1"/>
  <c r="A5876" i="1"/>
  <c r="A5875" i="1"/>
  <c r="A5874" i="1"/>
  <c r="A5873" i="1"/>
  <c r="A5872" i="1"/>
  <c r="A5871" i="1"/>
  <c r="A5870" i="1"/>
  <c r="A5869" i="1"/>
  <c r="A5868" i="1"/>
  <c r="A5867" i="1"/>
  <c r="A5866" i="1"/>
  <c r="A5865" i="1"/>
  <c r="A5864" i="1"/>
  <c r="A5863" i="1"/>
  <c r="A5862" i="1"/>
  <c r="A5861" i="1"/>
  <c r="A5860" i="1"/>
  <c r="A5859" i="1"/>
  <c r="A5858" i="1"/>
  <c r="A5857" i="1"/>
  <c r="A5856" i="1"/>
  <c r="A5855" i="1"/>
  <c r="A5854" i="1"/>
  <c r="A5853" i="1"/>
  <c r="A5852" i="1"/>
  <c r="A5851" i="1"/>
  <c r="A5850" i="1"/>
  <c r="A5849" i="1"/>
  <c r="A5848" i="1"/>
  <c r="A5847" i="1"/>
  <c r="A5846" i="1"/>
  <c r="A5845" i="1"/>
  <c r="A5844" i="1"/>
  <c r="A5843" i="1"/>
  <c r="A5842" i="1"/>
  <c r="A5841" i="1"/>
  <c r="A5840" i="1"/>
  <c r="A5839" i="1"/>
  <c r="A5838" i="1"/>
  <c r="A5837" i="1"/>
  <c r="A5836" i="1"/>
  <c r="A5835" i="1"/>
  <c r="A5834" i="1"/>
  <c r="A5833" i="1"/>
  <c r="A5832" i="1"/>
  <c r="A5831" i="1"/>
  <c r="A5830" i="1"/>
  <c r="A5829" i="1"/>
  <c r="A5828" i="1"/>
  <c r="A5827" i="1"/>
  <c r="A5826" i="1"/>
  <c r="A5825" i="1"/>
  <c r="A5824" i="1"/>
  <c r="A5823" i="1"/>
  <c r="A5822" i="1"/>
  <c r="A5821" i="1"/>
  <c r="A5820" i="1"/>
  <c r="A5819" i="1"/>
  <c r="A5818" i="1"/>
  <c r="A5817" i="1"/>
  <c r="A5816" i="1"/>
  <c r="A5815" i="1"/>
  <c r="A5814" i="1"/>
  <c r="A5813" i="1"/>
  <c r="A5812" i="1"/>
  <c r="A5811" i="1"/>
  <c r="A5810" i="1"/>
  <c r="A5809" i="1"/>
  <c r="A5808" i="1"/>
  <c r="A5807" i="1"/>
  <c r="A5806" i="1"/>
  <c r="A5805" i="1"/>
  <c r="A5804" i="1"/>
  <c r="A5803" i="1"/>
  <c r="A5802" i="1"/>
  <c r="A5801" i="1"/>
  <c r="A5800" i="1"/>
  <c r="A5799" i="1"/>
  <c r="A5798" i="1"/>
  <c r="A5797" i="1"/>
  <c r="A5796" i="1"/>
  <c r="A5795" i="1"/>
  <c r="A5794" i="1"/>
  <c r="A5793" i="1"/>
  <c r="A5792" i="1"/>
  <c r="A5791" i="1"/>
  <c r="A5790" i="1"/>
  <c r="A5789" i="1"/>
  <c r="A5788" i="1"/>
  <c r="A5787" i="1"/>
  <c r="A5786" i="1"/>
  <c r="A5785" i="1"/>
  <c r="A5784" i="1"/>
  <c r="A5783" i="1"/>
  <c r="A5782" i="1"/>
  <c r="A5781" i="1"/>
  <c r="A5780" i="1"/>
  <c r="A5779" i="1"/>
  <c r="A5778" i="1"/>
  <c r="A5777" i="1"/>
  <c r="A5776" i="1"/>
  <c r="A5775" i="1"/>
  <c r="A5774" i="1"/>
  <c r="A5773" i="1"/>
  <c r="A5772" i="1"/>
  <c r="A5771" i="1"/>
  <c r="A5770" i="1"/>
  <c r="A5769" i="1"/>
  <c r="A5768" i="1"/>
  <c r="A5767" i="1"/>
  <c r="A5766" i="1"/>
  <c r="A5765" i="1"/>
  <c r="A5764" i="1"/>
  <c r="A5763" i="1"/>
  <c r="A5762" i="1"/>
  <c r="A5761" i="1"/>
  <c r="A5760" i="1"/>
  <c r="A5759" i="1"/>
  <c r="A5758" i="1"/>
  <c r="A5757" i="1"/>
  <c r="A5756" i="1"/>
  <c r="A5755" i="1"/>
  <c r="A5754" i="1"/>
  <c r="A5753" i="1"/>
  <c r="A5752" i="1"/>
  <c r="A5751" i="1"/>
  <c r="A5750" i="1"/>
  <c r="A5749" i="1"/>
  <c r="A5748" i="1"/>
  <c r="A5747" i="1"/>
  <c r="A5746" i="1"/>
  <c r="A5745" i="1"/>
  <c r="A5744" i="1"/>
  <c r="A5743" i="1"/>
  <c r="A5742" i="1"/>
  <c r="A5741" i="1"/>
  <c r="A5740" i="1"/>
  <c r="A5739" i="1"/>
  <c r="A5738" i="1"/>
  <c r="A5737" i="1"/>
  <c r="A5736" i="1"/>
  <c r="A5735" i="1"/>
  <c r="A5734" i="1"/>
  <c r="A5733" i="1"/>
  <c r="A5732" i="1"/>
  <c r="A5731" i="1"/>
  <c r="A5730" i="1"/>
  <c r="A5729" i="1"/>
  <c r="A5728" i="1"/>
  <c r="A5727" i="1"/>
  <c r="A5726" i="1"/>
  <c r="A5725" i="1"/>
  <c r="A5724" i="1"/>
  <c r="A5723" i="1"/>
  <c r="A5722" i="1"/>
  <c r="A5721" i="1"/>
  <c r="A5720" i="1"/>
  <c r="A5719" i="1"/>
  <c r="A5718" i="1"/>
  <c r="A5717" i="1"/>
  <c r="A5716" i="1"/>
  <c r="A5715" i="1"/>
  <c r="A5714" i="1"/>
  <c r="A5713" i="1"/>
  <c r="A5712" i="1"/>
  <c r="A5711" i="1"/>
  <c r="A5710" i="1"/>
  <c r="A5709" i="1"/>
  <c r="A5708" i="1"/>
  <c r="A5707" i="1"/>
  <c r="A5706" i="1"/>
  <c r="A5705" i="1"/>
  <c r="A5704" i="1"/>
  <c r="A5703" i="1"/>
  <c r="A5702" i="1"/>
  <c r="A5701" i="1"/>
  <c r="A5700" i="1"/>
  <c r="A5699" i="1"/>
  <c r="A5698" i="1"/>
  <c r="A5697" i="1"/>
  <c r="A5696" i="1"/>
  <c r="A5695" i="1"/>
  <c r="A5694" i="1"/>
  <c r="A5693" i="1"/>
  <c r="A5692" i="1"/>
  <c r="A5691" i="1"/>
  <c r="A5690" i="1"/>
  <c r="A5689" i="1"/>
  <c r="A5688" i="1"/>
  <c r="A5687" i="1"/>
  <c r="A5686" i="1"/>
  <c r="A5685" i="1"/>
  <c r="A5684" i="1"/>
  <c r="A5683" i="1"/>
  <c r="A5682" i="1"/>
  <c r="A5681" i="1"/>
  <c r="A5680" i="1"/>
  <c r="A5679" i="1"/>
  <c r="A5678" i="1"/>
  <c r="A5677" i="1"/>
  <c r="A5676" i="1"/>
  <c r="A5675" i="1"/>
  <c r="A5674" i="1"/>
  <c r="A5673" i="1"/>
  <c r="A5672" i="1"/>
  <c r="A5671" i="1"/>
  <c r="A5670" i="1"/>
  <c r="A5669" i="1"/>
  <c r="A5668" i="1"/>
  <c r="A5667" i="1"/>
  <c r="A5666" i="1"/>
  <c r="A5665" i="1"/>
  <c r="A5664" i="1"/>
  <c r="A5663" i="1"/>
  <c r="A5662" i="1"/>
  <c r="A5661" i="1"/>
  <c r="A5660" i="1"/>
  <c r="A5659" i="1"/>
  <c r="A5658" i="1"/>
  <c r="A5657" i="1"/>
  <c r="A5656" i="1"/>
  <c r="A5655" i="1"/>
  <c r="A5654" i="1"/>
  <c r="A5653" i="1"/>
  <c r="A5652" i="1"/>
  <c r="A5651" i="1"/>
  <c r="A5650" i="1"/>
  <c r="A5649" i="1"/>
  <c r="A5648" i="1"/>
  <c r="A5647" i="1"/>
  <c r="A5646" i="1"/>
  <c r="A5645" i="1"/>
  <c r="A5644" i="1"/>
  <c r="A5643" i="1"/>
  <c r="A5642" i="1"/>
  <c r="A5641" i="1"/>
  <c r="A5640" i="1"/>
  <c r="A5639" i="1"/>
  <c r="A5638" i="1"/>
  <c r="A5637" i="1"/>
  <c r="A5636" i="1"/>
  <c r="A5635" i="1"/>
  <c r="A5634" i="1"/>
  <c r="A5633" i="1"/>
  <c r="A5632" i="1"/>
  <c r="A5631" i="1"/>
  <c r="A5630" i="1"/>
  <c r="A5629" i="1"/>
  <c r="A5628" i="1"/>
  <c r="A5627" i="1"/>
  <c r="A5626" i="1"/>
  <c r="A5625" i="1"/>
  <c r="A5624" i="1"/>
  <c r="A5623" i="1"/>
  <c r="A5622" i="1"/>
  <c r="A5621" i="1"/>
  <c r="A5620" i="1"/>
  <c r="A5619" i="1"/>
  <c r="A5618" i="1"/>
  <c r="A5617" i="1"/>
  <c r="A5616" i="1"/>
  <c r="A5615" i="1"/>
  <c r="A5614" i="1"/>
  <c r="A5613" i="1"/>
  <c r="A5612" i="1"/>
  <c r="A5611" i="1"/>
  <c r="A5610" i="1"/>
  <c r="A5609" i="1"/>
  <c r="A5608" i="1"/>
  <c r="A5607" i="1"/>
  <c r="A5606" i="1"/>
  <c r="A5605" i="1"/>
  <c r="A5604" i="1"/>
  <c r="A5603" i="1"/>
  <c r="A5602" i="1"/>
  <c r="A5601" i="1"/>
  <c r="A5600" i="1"/>
  <c r="A5599" i="1"/>
  <c r="A5598" i="1"/>
  <c r="A5597" i="1"/>
  <c r="A5596" i="1"/>
  <c r="A5595" i="1"/>
  <c r="A5594" i="1"/>
  <c r="A5593" i="1"/>
  <c r="A5592" i="1"/>
  <c r="A5591" i="1"/>
  <c r="A5590" i="1"/>
  <c r="A5589" i="1"/>
  <c r="A5588" i="1"/>
  <c r="A5587" i="1"/>
  <c r="A5586" i="1"/>
  <c r="A5585" i="1"/>
  <c r="A5584" i="1"/>
  <c r="A5583" i="1"/>
  <c r="A5582" i="1"/>
  <c r="A5581" i="1"/>
  <c r="A5580" i="1"/>
  <c r="A5579" i="1"/>
  <c r="A5578" i="1"/>
  <c r="A5577" i="1"/>
  <c r="A5576" i="1"/>
  <c r="A5575" i="1"/>
  <c r="A5574" i="1"/>
  <c r="A5573" i="1"/>
  <c r="A5572" i="1"/>
  <c r="A5571" i="1"/>
  <c r="A5570" i="1"/>
  <c r="A5569" i="1"/>
  <c r="A5568" i="1"/>
  <c r="A5567" i="1"/>
  <c r="A5566" i="1"/>
  <c r="A5565" i="1"/>
  <c r="A5564" i="1"/>
  <c r="A5563" i="1"/>
  <c r="A5562" i="1"/>
  <c r="A5561" i="1"/>
  <c r="A5560" i="1"/>
  <c r="A5559" i="1"/>
  <c r="A5558" i="1"/>
  <c r="A5557" i="1"/>
  <c r="A5556" i="1"/>
  <c r="A5555" i="1"/>
  <c r="A5554" i="1"/>
  <c r="A5553" i="1"/>
  <c r="A5552" i="1"/>
  <c r="A5551" i="1"/>
  <c r="A5550" i="1"/>
  <c r="A5549" i="1"/>
  <c r="A5548" i="1"/>
  <c r="A5547" i="1"/>
  <c r="A5546" i="1"/>
  <c r="A5545" i="1"/>
  <c r="A5544" i="1"/>
  <c r="A5543" i="1"/>
  <c r="A5542" i="1"/>
  <c r="A5541" i="1"/>
  <c r="A5540" i="1"/>
  <c r="A5539" i="1"/>
  <c r="A5538" i="1"/>
  <c r="A5537" i="1"/>
  <c r="A5536" i="1"/>
  <c r="A5535" i="1"/>
  <c r="A5534" i="1"/>
  <c r="A5533" i="1"/>
  <c r="A5532" i="1"/>
  <c r="A5531" i="1"/>
  <c r="A5530" i="1"/>
  <c r="A5529" i="1"/>
  <c r="A5528" i="1"/>
  <c r="A5527" i="1"/>
  <c r="A5526" i="1"/>
  <c r="A5525" i="1"/>
  <c r="A5524" i="1"/>
  <c r="A5523" i="1"/>
  <c r="A5522" i="1"/>
  <c r="A5521" i="1"/>
  <c r="A5520" i="1"/>
  <c r="A5519" i="1"/>
  <c r="A5518" i="1"/>
  <c r="A5517" i="1"/>
  <c r="A5516" i="1"/>
  <c r="A5515" i="1"/>
  <c r="A5514" i="1"/>
  <c r="A5513" i="1"/>
  <c r="A5512" i="1"/>
  <c r="A5511" i="1"/>
  <c r="A5510" i="1"/>
  <c r="A5509" i="1"/>
  <c r="A5508" i="1"/>
  <c r="A5507" i="1"/>
  <c r="A5506" i="1"/>
  <c r="A5505" i="1"/>
  <c r="A5504" i="1"/>
  <c r="A5503" i="1"/>
  <c r="A5502" i="1"/>
  <c r="A5501" i="1"/>
  <c r="A5500" i="1"/>
  <c r="A5499" i="1"/>
  <c r="A5498" i="1"/>
  <c r="A5497" i="1"/>
  <c r="A5496" i="1"/>
  <c r="A5495" i="1"/>
  <c r="A5494" i="1"/>
  <c r="A5493" i="1"/>
  <c r="A5492" i="1"/>
  <c r="A5491" i="1"/>
  <c r="A5490" i="1"/>
  <c r="A5489" i="1"/>
  <c r="A5488" i="1"/>
  <c r="A5487" i="1"/>
  <c r="A5486" i="1"/>
  <c r="A5485" i="1"/>
  <c r="A5484" i="1"/>
  <c r="A5483" i="1"/>
  <c r="A5482" i="1"/>
  <c r="A5481" i="1"/>
  <c r="A5480" i="1"/>
  <c r="A5479" i="1"/>
  <c r="A5478" i="1"/>
  <c r="A5477" i="1"/>
  <c r="A5476" i="1"/>
  <c r="A5475" i="1"/>
  <c r="A5474" i="1"/>
  <c r="A5473" i="1"/>
  <c r="A5472" i="1"/>
  <c r="A5471" i="1"/>
  <c r="A5470" i="1"/>
  <c r="A5469" i="1"/>
  <c r="A5468" i="1"/>
  <c r="A5467" i="1"/>
  <c r="A5466" i="1"/>
  <c r="A5465" i="1"/>
  <c r="A5464" i="1"/>
  <c r="A5463" i="1"/>
  <c r="A5462" i="1"/>
  <c r="A5461" i="1"/>
  <c r="A5460" i="1"/>
  <c r="A5459" i="1"/>
  <c r="A5458" i="1"/>
  <c r="A5457" i="1"/>
  <c r="A5456" i="1"/>
  <c r="A5455" i="1"/>
  <c r="A5454" i="1"/>
  <c r="A5453" i="1"/>
  <c r="A5452" i="1"/>
  <c r="A5451" i="1"/>
  <c r="A5450" i="1"/>
  <c r="A5449" i="1"/>
  <c r="A5448" i="1"/>
  <c r="A5447" i="1"/>
  <c r="A5446" i="1"/>
  <c r="A5445" i="1"/>
  <c r="A5444" i="1"/>
  <c r="A5443" i="1"/>
  <c r="A5442" i="1"/>
  <c r="A5441" i="1"/>
  <c r="A5440" i="1"/>
  <c r="A5439" i="1"/>
  <c r="A5438" i="1"/>
  <c r="A5437" i="1"/>
  <c r="A5436" i="1"/>
  <c r="A5435" i="1"/>
  <c r="A5434" i="1"/>
  <c r="A5433" i="1"/>
  <c r="A5432" i="1"/>
  <c r="A5431" i="1"/>
  <c r="A5430" i="1"/>
  <c r="A5429" i="1"/>
  <c r="A5428" i="1"/>
  <c r="A5427" i="1"/>
  <c r="A5426" i="1"/>
  <c r="A5425" i="1"/>
  <c r="A5424" i="1"/>
  <c r="A5423" i="1"/>
  <c r="A5422" i="1"/>
  <c r="A5421" i="1"/>
  <c r="A5420" i="1"/>
  <c r="A5419" i="1"/>
  <c r="A5418" i="1"/>
  <c r="A5417" i="1"/>
  <c r="A5416" i="1"/>
  <c r="A5415" i="1"/>
  <c r="A5414" i="1"/>
  <c r="A5413" i="1"/>
  <c r="A5412" i="1"/>
  <c r="A5411" i="1"/>
  <c r="A5410" i="1"/>
  <c r="A5409" i="1"/>
  <c r="A5408" i="1"/>
  <c r="A5407" i="1"/>
  <c r="A5406" i="1"/>
  <c r="A5405" i="1"/>
  <c r="A5404" i="1"/>
  <c r="A5403" i="1"/>
  <c r="A5402" i="1"/>
  <c r="A5401" i="1"/>
  <c r="A5400" i="1"/>
  <c r="A5399" i="1"/>
  <c r="A5398" i="1"/>
  <c r="A5397" i="1"/>
  <c r="A5396" i="1"/>
  <c r="A5395" i="1"/>
  <c r="A5394" i="1"/>
  <c r="A5393" i="1"/>
  <c r="A5392" i="1"/>
  <c r="A5391" i="1"/>
  <c r="A5390" i="1"/>
  <c r="A5389" i="1"/>
  <c r="A5388" i="1"/>
  <c r="A5387" i="1"/>
  <c r="A5386" i="1"/>
  <c r="A5385" i="1"/>
  <c r="A5384" i="1"/>
  <c r="A5383" i="1"/>
  <c r="A5382" i="1"/>
  <c r="A5381" i="1"/>
  <c r="A5380" i="1"/>
  <c r="A5379" i="1"/>
  <c r="A5378" i="1"/>
  <c r="A5377" i="1"/>
  <c r="A5376" i="1"/>
  <c r="A5375" i="1"/>
  <c r="A5374" i="1"/>
  <c r="A5373" i="1"/>
  <c r="A5372" i="1"/>
  <c r="A5371" i="1"/>
  <c r="A5370" i="1"/>
  <c r="A5369" i="1"/>
  <c r="A5368" i="1"/>
  <c r="A5367" i="1"/>
  <c r="A5366" i="1"/>
  <c r="A5365" i="1"/>
  <c r="A5364" i="1"/>
  <c r="A5363" i="1"/>
  <c r="A5362" i="1"/>
  <c r="A5361" i="1"/>
  <c r="A5360" i="1"/>
  <c r="A5359" i="1"/>
  <c r="A5358" i="1"/>
  <c r="A5357" i="1"/>
  <c r="A5356" i="1"/>
  <c r="A5355" i="1"/>
  <c r="A5354" i="1"/>
  <c r="A5353" i="1"/>
  <c r="A5352" i="1"/>
  <c r="A5351" i="1"/>
  <c r="A5350" i="1"/>
  <c r="A5349" i="1"/>
  <c r="A5348" i="1"/>
  <c r="A5347" i="1"/>
  <c r="A5346" i="1"/>
  <c r="A5345" i="1"/>
  <c r="A5344" i="1"/>
  <c r="A5343" i="1"/>
  <c r="A5342" i="1"/>
  <c r="A5341" i="1"/>
  <c r="A5340" i="1"/>
  <c r="A5339" i="1"/>
  <c r="A5338" i="1"/>
  <c r="A5337" i="1"/>
  <c r="A5336" i="1"/>
  <c r="A5335" i="1"/>
  <c r="A5334" i="1"/>
  <c r="A5333" i="1"/>
  <c r="A5332" i="1"/>
  <c r="A5331" i="1"/>
  <c r="A5330" i="1"/>
  <c r="A5329" i="1"/>
  <c r="A5328" i="1"/>
  <c r="A5327" i="1"/>
  <c r="A5326" i="1"/>
  <c r="A5325" i="1"/>
  <c r="A5324" i="1"/>
  <c r="A5323" i="1"/>
  <c r="A5322" i="1"/>
  <c r="A5321" i="1"/>
  <c r="A5320" i="1"/>
  <c r="A5319" i="1"/>
  <c r="A5318" i="1"/>
  <c r="A5317" i="1"/>
  <c r="A5316" i="1"/>
  <c r="A5315" i="1"/>
  <c r="A5314" i="1"/>
  <c r="A5313" i="1"/>
  <c r="A5312" i="1"/>
  <c r="A5311" i="1"/>
  <c r="A5310" i="1"/>
  <c r="A5309" i="1"/>
  <c r="A5308" i="1"/>
  <c r="A5307" i="1"/>
  <c r="A5306" i="1"/>
  <c r="A5305" i="1"/>
  <c r="A5304" i="1"/>
  <c r="A5303" i="1"/>
  <c r="A5302" i="1"/>
  <c r="A5301" i="1"/>
  <c r="A5300" i="1"/>
  <c r="A5299" i="1"/>
  <c r="A5298" i="1"/>
  <c r="A5297" i="1"/>
  <c r="A5296" i="1"/>
  <c r="A5295" i="1"/>
  <c r="A5294" i="1"/>
  <c r="A5293" i="1"/>
  <c r="A5292" i="1"/>
  <c r="A5291" i="1"/>
  <c r="A5290" i="1"/>
  <c r="A5289" i="1"/>
  <c r="A5288" i="1"/>
  <c r="A5287" i="1"/>
  <c r="A5286" i="1"/>
  <c r="A5285" i="1"/>
  <c r="A5284" i="1"/>
  <c r="A5283" i="1"/>
  <c r="A5282" i="1"/>
  <c r="A5281" i="1"/>
  <c r="A5280" i="1"/>
  <c r="A5279" i="1"/>
  <c r="A5278" i="1"/>
  <c r="A5277" i="1"/>
  <c r="A5276" i="1"/>
  <c r="A5275" i="1"/>
  <c r="A5274" i="1"/>
  <c r="A5273" i="1"/>
  <c r="A5272" i="1"/>
  <c r="A5271" i="1"/>
  <c r="A5270" i="1"/>
  <c r="A5269" i="1"/>
  <c r="A5268" i="1"/>
  <c r="A5267" i="1"/>
  <c r="A5266" i="1"/>
  <c r="A5265" i="1"/>
  <c r="A5264" i="1"/>
  <c r="A5263" i="1"/>
  <c r="A5262" i="1"/>
  <c r="A5261" i="1"/>
  <c r="A5260" i="1"/>
  <c r="A5259" i="1"/>
  <c r="A5258" i="1"/>
  <c r="A5257" i="1"/>
  <c r="A5256" i="1"/>
  <c r="A5255" i="1"/>
  <c r="A5254" i="1"/>
  <c r="A5253" i="1"/>
  <c r="A5252" i="1"/>
  <c r="A5251" i="1"/>
  <c r="A5250" i="1"/>
  <c r="A5249" i="1"/>
  <c r="A5248" i="1"/>
  <c r="A5247" i="1"/>
  <c r="A5246" i="1"/>
  <c r="A5245" i="1"/>
  <c r="A5244" i="1"/>
  <c r="A5243" i="1"/>
  <c r="A5242" i="1"/>
  <c r="A5241" i="1"/>
  <c r="A5240" i="1"/>
  <c r="A5239" i="1"/>
  <c r="A5238" i="1"/>
  <c r="A5237" i="1"/>
  <c r="A5236" i="1"/>
  <c r="A5235" i="1"/>
  <c r="A5234" i="1"/>
  <c r="A5233" i="1"/>
  <c r="A5232" i="1"/>
  <c r="A5231" i="1"/>
  <c r="A5230" i="1"/>
  <c r="A5229" i="1"/>
  <c r="A5228" i="1"/>
  <c r="A5227" i="1"/>
  <c r="A5226" i="1"/>
  <c r="A5225" i="1"/>
  <c r="A5224" i="1"/>
  <c r="A5223" i="1"/>
  <c r="A5222" i="1"/>
  <c r="A5221" i="1"/>
  <c r="A5220" i="1"/>
  <c r="A5219" i="1"/>
  <c r="A5218" i="1"/>
  <c r="A5217" i="1"/>
  <c r="A5216" i="1"/>
  <c r="A5215" i="1"/>
  <c r="A5214" i="1"/>
  <c r="A5213" i="1"/>
  <c r="A5212" i="1"/>
  <c r="A5211" i="1"/>
  <c r="A5210" i="1"/>
  <c r="A5209" i="1"/>
  <c r="A5208" i="1"/>
  <c r="A5207" i="1"/>
  <c r="A5206" i="1"/>
  <c r="A5205" i="1"/>
  <c r="A5204" i="1"/>
  <c r="A5203" i="1"/>
  <c r="A5202" i="1"/>
  <c r="A5201" i="1"/>
  <c r="A5200" i="1"/>
  <c r="A5199" i="1"/>
  <c r="A5198" i="1"/>
  <c r="A5197" i="1"/>
  <c r="A5196" i="1"/>
  <c r="A5195" i="1"/>
  <c r="A5194" i="1"/>
  <c r="A5193" i="1"/>
  <c r="A5192" i="1"/>
  <c r="A5191" i="1"/>
  <c r="A5190" i="1"/>
  <c r="A5189" i="1"/>
  <c r="A5188" i="1"/>
  <c r="A5187" i="1"/>
  <c r="A5186" i="1"/>
  <c r="A5185" i="1"/>
  <c r="A5184" i="1"/>
  <c r="A5183" i="1"/>
  <c r="A5182" i="1"/>
  <c r="A5181" i="1"/>
  <c r="A5180" i="1"/>
  <c r="A5179" i="1"/>
  <c r="A5178" i="1"/>
  <c r="A5177" i="1"/>
  <c r="A5176" i="1"/>
  <c r="A5175" i="1"/>
  <c r="A5174" i="1"/>
  <c r="A5173" i="1"/>
  <c r="A5172" i="1"/>
  <c r="A5171" i="1"/>
  <c r="A5170" i="1"/>
  <c r="A5169" i="1"/>
  <c r="A5168" i="1"/>
  <c r="A5167" i="1"/>
  <c r="A5166" i="1"/>
  <c r="A5165" i="1"/>
  <c r="A5164" i="1"/>
  <c r="A5163" i="1"/>
  <c r="A5162" i="1"/>
  <c r="A5161" i="1"/>
  <c r="A5160" i="1"/>
  <c r="A5159" i="1"/>
  <c r="A5158" i="1"/>
  <c r="A5157" i="1"/>
  <c r="A5156" i="1"/>
  <c r="A5155" i="1"/>
  <c r="A5154" i="1"/>
  <c r="A5153" i="1"/>
  <c r="A5152" i="1"/>
  <c r="A5151" i="1"/>
  <c r="A5150" i="1"/>
  <c r="A5149" i="1"/>
  <c r="A5148" i="1"/>
  <c r="A5147" i="1"/>
  <c r="A5146" i="1"/>
  <c r="A5145" i="1"/>
  <c r="A5144" i="1"/>
  <c r="A5143" i="1"/>
  <c r="A5142" i="1"/>
  <c r="A5141" i="1"/>
  <c r="A5140" i="1"/>
  <c r="A5139" i="1"/>
  <c r="A5138" i="1"/>
  <c r="A5137" i="1"/>
  <c r="A5136" i="1"/>
  <c r="A5135" i="1"/>
  <c r="A5134" i="1"/>
  <c r="A5133" i="1"/>
  <c r="A5132" i="1"/>
  <c r="A5131" i="1"/>
  <c r="A5130" i="1"/>
  <c r="A5129" i="1"/>
  <c r="A5128" i="1"/>
  <c r="A5127" i="1"/>
  <c r="A5126" i="1"/>
  <c r="A5125" i="1"/>
  <c r="A5124" i="1"/>
  <c r="A5123" i="1"/>
  <c r="A5122" i="1"/>
  <c r="A5121" i="1"/>
  <c r="A5120" i="1"/>
  <c r="A5119" i="1"/>
  <c r="A5118" i="1"/>
  <c r="A5117" i="1"/>
  <c r="A5116" i="1"/>
  <c r="A5115" i="1"/>
  <c r="A5114" i="1"/>
  <c r="A5113" i="1"/>
  <c r="A5112" i="1"/>
  <c r="A5111" i="1"/>
  <c r="A5110" i="1"/>
  <c r="A5109" i="1"/>
  <c r="A5108" i="1"/>
  <c r="A5107" i="1"/>
  <c r="A5106" i="1"/>
  <c r="A5105" i="1"/>
  <c r="A5104" i="1"/>
  <c r="A5103" i="1"/>
  <c r="A5102" i="1"/>
  <c r="A5101" i="1"/>
  <c r="A5100" i="1"/>
  <c r="A5099" i="1"/>
  <c r="A5098" i="1"/>
  <c r="A5097" i="1"/>
  <c r="A5096" i="1"/>
  <c r="A5095" i="1"/>
  <c r="A5094" i="1"/>
  <c r="A5093" i="1"/>
  <c r="A5092" i="1"/>
  <c r="A5091" i="1"/>
  <c r="A5090" i="1"/>
  <c r="A5089" i="1"/>
  <c r="A5088" i="1"/>
  <c r="A5087" i="1"/>
  <c r="A5086" i="1"/>
  <c r="A5085" i="1"/>
  <c r="A5084" i="1"/>
  <c r="A5083" i="1"/>
  <c r="A5082" i="1"/>
  <c r="A5081" i="1"/>
  <c r="A5080" i="1"/>
  <c r="A5079" i="1"/>
  <c r="A5078" i="1"/>
  <c r="A5077" i="1"/>
  <c r="A5076" i="1"/>
  <c r="A5075" i="1"/>
  <c r="A5074" i="1"/>
  <c r="A5073" i="1"/>
  <c r="A5072" i="1"/>
  <c r="A5071" i="1"/>
  <c r="A5070" i="1"/>
  <c r="A5069" i="1"/>
  <c r="A5068" i="1"/>
  <c r="A5067" i="1"/>
  <c r="A5066" i="1"/>
  <c r="A5065" i="1"/>
  <c r="A5064" i="1"/>
  <c r="A5063" i="1"/>
  <c r="A5062" i="1"/>
  <c r="A5061" i="1"/>
  <c r="A5060" i="1"/>
  <c r="A5059" i="1"/>
  <c r="A5058" i="1"/>
  <c r="A5057" i="1"/>
  <c r="A5056" i="1"/>
  <c r="A5055" i="1"/>
  <c r="A5054" i="1"/>
  <c r="A5053" i="1"/>
  <c r="A5052" i="1"/>
  <c r="A5051" i="1"/>
  <c r="A5050" i="1"/>
  <c r="A5049" i="1"/>
  <c r="A5048" i="1"/>
  <c r="A5047" i="1"/>
  <c r="A5046" i="1"/>
  <c r="A5045" i="1"/>
  <c r="A5044" i="1"/>
  <c r="A5043" i="1"/>
  <c r="A5042" i="1"/>
  <c r="A5041" i="1"/>
  <c r="A5040" i="1"/>
  <c r="A5039" i="1"/>
  <c r="A5038" i="1"/>
  <c r="A5037" i="1"/>
  <c r="A5036" i="1"/>
  <c r="A5035" i="1"/>
  <c r="A5034" i="1"/>
  <c r="A5033" i="1"/>
  <c r="A5032" i="1"/>
  <c r="A5031" i="1"/>
  <c r="A5030" i="1"/>
  <c r="A5029" i="1"/>
  <c r="A5028" i="1"/>
  <c r="A5027" i="1"/>
  <c r="A5026" i="1"/>
  <c r="A5025" i="1"/>
  <c r="A5024" i="1"/>
  <c r="A5023" i="1"/>
  <c r="A5022" i="1"/>
  <c r="A5021" i="1"/>
  <c r="A5020" i="1"/>
  <c r="A5019" i="1"/>
  <c r="A5018" i="1"/>
  <c r="A5017" i="1"/>
  <c r="A5016" i="1"/>
  <c r="A5015" i="1"/>
  <c r="A5014" i="1"/>
  <c r="A5013" i="1"/>
  <c r="A5012" i="1"/>
  <c r="A5011" i="1"/>
  <c r="A5010" i="1"/>
  <c r="A5009" i="1"/>
  <c r="A5008" i="1"/>
  <c r="A5007" i="1"/>
  <c r="A5006" i="1"/>
  <c r="A5005" i="1"/>
  <c r="A5004" i="1"/>
  <c r="A5003" i="1"/>
  <c r="A5002" i="1"/>
  <c r="A5001" i="1"/>
  <c r="A5000" i="1"/>
  <c r="A4999" i="1"/>
  <c r="A4998" i="1"/>
  <c r="A4997" i="1"/>
  <c r="A4996" i="1"/>
  <c r="A4995" i="1"/>
  <c r="A4994" i="1"/>
  <c r="A4993" i="1"/>
  <c r="A4992" i="1"/>
  <c r="A4991" i="1"/>
  <c r="A4990" i="1"/>
  <c r="A4989" i="1"/>
  <c r="A4988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8" i="1"/>
  <c r="A4967" i="1"/>
  <c r="A4966" i="1"/>
  <c r="A4965" i="1"/>
  <c r="A4964" i="1"/>
  <c r="A4963" i="1"/>
  <c r="A4962" i="1"/>
  <c r="A4961" i="1"/>
  <c r="A4960" i="1"/>
  <c r="A4959" i="1"/>
  <c r="A4958" i="1"/>
  <c r="A4957" i="1"/>
  <c r="A4956" i="1"/>
  <c r="A4955" i="1"/>
  <c r="A4954" i="1"/>
  <c r="A4953" i="1"/>
  <c r="A4952" i="1"/>
  <c r="A4951" i="1"/>
  <c r="A4950" i="1"/>
  <c r="A4949" i="1"/>
  <c r="A4948" i="1"/>
  <c r="A4947" i="1"/>
  <c r="A4946" i="1"/>
  <c r="A4945" i="1"/>
  <c r="A4944" i="1"/>
  <c r="A4943" i="1"/>
  <c r="A4942" i="1"/>
  <c r="A4941" i="1"/>
  <c r="A4940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5" i="1"/>
  <c r="A4924" i="1"/>
  <c r="A4923" i="1"/>
  <c r="A4922" i="1"/>
  <c r="A4921" i="1"/>
  <c r="A4920" i="1"/>
  <c r="A4919" i="1"/>
  <c r="A4918" i="1"/>
  <c r="A4917" i="1"/>
  <c r="A4916" i="1"/>
  <c r="A4915" i="1"/>
  <c r="A4914" i="1"/>
  <c r="A4913" i="1"/>
  <c r="A4912" i="1"/>
  <c r="A4911" i="1"/>
  <c r="A4910" i="1"/>
  <c r="A4909" i="1"/>
  <c r="A4908" i="1"/>
  <c r="A4907" i="1"/>
  <c r="A4906" i="1"/>
  <c r="A4905" i="1"/>
  <c r="A4904" i="1"/>
  <c r="A4903" i="1"/>
  <c r="A4902" i="1"/>
  <c r="A4901" i="1"/>
  <c r="A4900" i="1"/>
  <c r="A4899" i="1"/>
  <c r="A4898" i="1"/>
  <c r="A4897" i="1"/>
  <c r="A4896" i="1"/>
  <c r="A4895" i="1"/>
  <c r="A4894" i="1"/>
  <c r="A4893" i="1"/>
  <c r="A4892" i="1"/>
  <c r="A4891" i="1"/>
  <c r="A4890" i="1"/>
  <c r="A4889" i="1"/>
  <c r="A4888" i="1"/>
  <c r="A4887" i="1"/>
  <c r="A4886" i="1"/>
  <c r="A4885" i="1"/>
  <c r="A4884" i="1"/>
  <c r="A4883" i="1"/>
  <c r="A4882" i="1"/>
  <c r="A4881" i="1"/>
  <c r="A4880" i="1"/>
  <c r="A4879" i="1"/>
  <c r="A4878" i="1"/>
  <c r="A4877" i="1"/>
  <c r="A4876" i="1"/>
  <c r="A4875" i="1"/>
  <c r="A4874" i="1"/>
  <c r="A4873" i="1"/>
  <c r="A4872" i="1"/>
  <c r="A4871" i="1"/>
  <c r="A4870" i="1"/>
  <c r="A4869" i="1"/>
  <c r="A4868" i="1"/>
  <c r="A4867" i="1"/>
  <c r="A4866" i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4" i="1"/>
  <c r="A4843" i="1"/>
  <c r="A4842" i="1"/>
  <c r="A4841" i="1"/>
  <c r="A4840" i="1"/>
  <c r="A4839" i="1"/>
  <c r="A4838" i="1"/>
  <c r="A4837" i="1"/>
  <c r="A4836" i="1"/>
  <c r="A4835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6" i="1"/>
  <c r="A4815" i="1"/>
  <c r="A4814" i="1"/>
  <c r="A4813" i="1"/>
  <c r="A4812" i="1"/>
  <c r="A4811" i="1"/>
  <c r="A4810" i="1"/>
  <c r="A4809" i="1"/>
  <c r="A4808" i="1"/>
  <c r="A4807" i="1"/>
  <c r="A4806" i="1"/>
  <c r="A4805" i="1"/>
  <c r="A4804" i="1"/>
  <c r="A4803" i="1"/>
  <c r="A4802" i="1"/>
  <c r="A4801" i="1"/>
  <c r="A4800" i="1"/>
  <c r="A4799" i="1"/>
  <c r="A4798" i="1"/>
  <c r="A4797" i="1"/>
  <c r="A4796" i="1"/>
  <c r="A4795" i="1"/>
  <c r="A4794" i="1"/>
  <c r="A4793" i="1"/>
  <c r="A4792" i="1"/>
  <c r="A4791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7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2" i="1"/>
  <c r="A4761" i="1"/>
  <c r="A4760" i="1"/>
  <c r="A4759" i="1"/>
  <c r="A4758" i="1"/>
  <c r="A4757" i="1"/>
  <c r="A4756" i="1"/>
  <c r="A4755" i="1"/>
  <c r="A4754" i="1"/>
  <c r="A4753" i="1"/>
  <c r="A4752" i="1"/>
  <c r="A4751" i="1"/>
  <c r="A4750" i="1"/>
  <c r="A4749" i="1"/>
  <c r="A4748" i="1"/>
  <c r="A4747" i="1"/>
  <c r="A4746" i="1"/>
  <c r="A4745" i="1"/>
  <c r="A4744" i="1"/>
  <c r="A4743" i="1"/>
  <c r="A4742" i="1"/>
  <c r="A4741" i="1"/>
  <c r="A4740" i="1"/>
  <c r="A4739" i="1"/>
  <c r="A4738" i="1"/>
  <c r="A4737" i="1"/>
  <c r="A4736" i="1"/>
  <c r="A4735" i="1"/>
  <c r="A4734" i="1"/>
  <c r="A4733" i="1"/>
  <c r="A4732" i="1"/>
  <c r="A4731" i="1"/>
  <c r="A4730" i="1"/>
  <c r="A4729" i="1"/>
  <c r="A4728" i="1"/>
  <c r="A4727" i="1"/>
  <c r="A4726" i="1"/>
  <c r="A4725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10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4" i="1"/>
  <c r="A4693" i="1"/>
  <c r="A4692" i="1"/>
  <c r="A4691" i="1"/>
  <c r="A4690" i="1"/>
  <c r="A4689" i="1"/>
  <c r="A4688" i="1"/>
  <c r="A4687" i="1"/>
  <c r="A4686" i="1"/>
  <c r="A4685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2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2" i="1"/>
  <c r="A4651" i="1"/>
  <c r="A4650" i="1"/>
  <c r="A4649" i="1"/>
  <c r="A4648" i="1"/>
  <c r="A4647" i="1"/>
  <c r="A4646" i="1"/>
  <c r="A4645" i="1"/>
  <c r="A4644" i="1"/>
  <c r="A4643" i="1"/>
  <c r="A4642" i="1"/>
  <c r="A4641" i="1"/>
  <c r="A4640" i="1"/>
  <c r="A4639" i="1"/>
  <c r="A4638" i="1"/>
  <c r="A4637" i="1"/>
  <c r="A4636" i="1"/>
  <c r="A4635" i="1"/>
  <c r="A4634" i="1"/>
  <c r="A4633" i="1"/>
  <c r="A4632" i="1"/>
  <c r="A4631" i="1"/>
  <c r="A4630" i="1"/>
  <c r="A4629" i="1"/>
  <c r="A4628" i="1"/>
  <c r="A4627" i="1"/>
  <c r="A4626" i="1"/>
  <c r="A4625" i="1"/>
  <c r="A4624" i="1"/>
  <c r="A4623" i="1"/>
  <c r="A4622" i="1"/>
  <c r="A4621" i="1"/>
  <c r="A4620" i="1"/>
  <c r="A4619" i="1"/>
  <c r="A4618" i="1"/>
  <c r="A4617" i="1"/>
  <c r="A4616" i="1"/>
  <c r="A4615" i="1"/>
  <c r="A4614" i="1"/>
  <c r="A4613" i="1"/>
  <c r="A4612" i="1"/>
  <c r="A4611" i="1"/>
  <c r="A4610" i="1"/>
  <c r="A4609" i="1"/>
  <c r="A4608" i="1"/>
  <c r="A4607" i="1"/>
  <c r="A4606" i="1"/>
  <c r="A4605" i="1"/>
  <c r="A4604" i="1"/>
  <c r="A4603" i="1"/>
  <c r="A4602" i="1"/>
  <c r="A4601" i="1"/>
  <c r="A4600" i="1"/>
  <c r="A4599" i="1"/>
  <c r="A4598" i="1"/>
  <c r="A4597" i="1"/>
  <c r="A4596" i="1"/>
  <c r="A4595" i="1"/>
  <c r="A4594" i="1"/>
  <c r="A4593" i="1"/>
  <c r="A4592" i="1"/>
  <c r="A4591" i="1"/>
  <c r="A4590" i="1"/>
  <c r="A4589" i="1"/>
  <c r="A4588" i="1"/>
  <c r="A4587" i="1"/>
  <c r="A4586" i="1"/>
  <c r="A4585" i="1"/>
  <c r="A4584" i="1"/>
  <c r="A4583" i="1"/>
  <c r="A4582" i="1"/>
  <c r="A4581" i="1"/>
  <c r="A4580" i="1"/>
  <c r="A4579" i="1"/>
  <c r="A4578" i="1"/>
  <c r="A4577" i="1"/>
  <c r="A4576" i="1"/>
  <c r="A4575" i="1"/>
  <c r="A4574" i="1"/>
  <c r="A4573" i="1"/>
  <c r="A4572" i="1"/>
  <c r="A4571" i="1"/>
  <c r="A4570" i="1"/>
  <c r="A4569" i="1"/>
  <c r="A4568" i="1"/>
  <c r="A4567" i="1"/>
  <c r="A4566" i="1"/>
  <c r="A4565" i="1"/>
  <c r="A4564" i="1"/>
  <c r="A4563" i="1"/>
  <c r="A4562" i="1"/>
  <c r="A4561" i="1"/>
  <c r="A4560" i="1"/>
  <c r="A4559" i="1"/>
  <c r="A4558" i="1"/>
  <c r="A4557" i="1"/>
  <c r="A4556" i="1"/>
  <c r="A4555" i="1"/>
  <c r="A4554" i="1"/>
  <c r="A4553" i="1"/>
  <c r="A4552" i="1"/>
  <c r="A4551" i="1"/>
  <c r="A4550" i="1"/>
  <c r="A4549" i="1"/>
  <c r="A4548" i="1"/>
  <c r="A4547" i="1"/>
  <c r="A4546" i="1"/>
  <c r="A4545" i="1"/>
  <c r="A4544" i="1"/>
  <c r="A4543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5" i="1"/>
  <c r="A4524" i="1"/>
  <c r="A4523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8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2" i="1"/>
  <c r="A4491" i="1"/>
  <c r="A4490" i="1"/>
  <c r="A4489" i="1"/>
  <c r="A4488" i="1"/>
  <c r="A4487" i="1"/>
  <c r="A4486" i="1"/>
  <c r="A4485" i="1"/>
  <c r="A4484" i="1"/>
  <c r="A4483" i="1"/>
  <c r="A4482" i="1"/>
  <c r="A4481" i="1"/>
  <c r="A4480" i="1"/>
  <c r="A4479" i="1"/>
  <c r="A4478" i="1"/>
  <c r="A4477" i="1"/>
  <c r="A4476" i="1"/>
  <c r="A4475" i="1"/>
  <c r="A4474" i="1"/>
  <c r="A4473" i="1"/>
  <c r="A4472" i="1"/>
  <c r="A4471" i="1"/>
  <c r="A4470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6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2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2" i="1"/>
  <c r="A4401" i="1"/>
  <c r="A4400" i="1"/>
  <c r="A4399" i="1"/>
  <c r="A4398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A4367" i="1"/>
  <c r="A4366" i="1"/>
  <c r="A4365" i="1"/>
  <c r="A4364" i="1"/>
  <c r="A4363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7" i="1"/>
  <c r="A4336" i="1"/>
  <c r="A4335" i="1"/>
  <c r="A4334" i="1"/>
  <c r="A4333" i="1"/>
  <c r="A4332" i="1"/>
  <c r="A4331" i="1"/>
  <c r="A4330" i="1"/>
  <c r="A4329" i="1"/>
  <c r="A4328" i="1"/>
  <c r="A4327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4" i="1"/>
  <c r="A4283" i="1"/>
  <c r="A4282" i="1"/>
  <c r="A4281" i="1"/>
  <c r="A4280" i="1"/>
  <c r="A4279" i="1"/>
  <c r="A4278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3" i="1"/>
  <c r="A4212" i="1"/>
  <c r="A4211" i="1"/>
  <c r="A4210" i="1"/>
  <c r="A4209" i="1"/>
  <c r="A4208" i="1"/>
  <c r="A4207" i="1"/>
  <c r="A4206" i="1"/>
  <c r="A4205" i="1"/>
  <c r="A4204" i="1"/>
  <c r="A4203" i="1"/>
  <c r="A4202" i="1"/>
  <c r="A4201" i="1"/>
  <c r="A4200" i="1"/>
  <c r="A4199" i="1"/>
  <c r="A4198" i="1"/>
  <c r="A4197" i="1"/>
  <c r="A4196" i="1"/>
  <c r="A4195" i="1"/>
  <c r="A4194" i="1"/>
  <c r="A4193" i="1"/>
  <c r="A4192" i="1"/>
  <c r="A4191" i="1"/>
  <c r="A4190" i="1"/>
  <c r="A4189" i="1"/>
  <c r="A4188" i="1"/>
  <c r="A4187" i="1"/>
  <c r="A4186" i="1"/>
  <c r="A4185" i="1"/>
  <c r="A4184" i="1"/>
  <c r="A4183" i="1"/>
  <c r="A4182" i="1"/>
  <c r="A4181" i="1"/>
  <c r="A4180" i="1"/>
  <c r="A4179" i="1"/>
  <c r="A4178" i="1"/>
  <c r="A4177" i="1"/>
  <c r="A4176" i="1"/>
  <c r="A4175" i="1"/>
  <c r="A4174" i="1"/>
  <c r="A4173" i="1"/>
  <c r="A4172" i="1"/>
  <c r="A4171" i="1"/>
  <c r="A4170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5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1" i="1"/>
  <c r="A4140" i="1"/>
  <c r="A4139" i="1"/>
  <c r="A4138" i="1"/>
  <c r="A4137" i="1"/>
  <c r="A4136" i="1"/>
  <c r="A4135" i="1"/>
  <c r="A4134" i="1"/>
  <c r="A4133" i="1"/>
  <c r="A4132" i="1"/>
  <c r="A4131" i="1"/>
  <c r="A4130" i="1"/>
  <c r="A4129" i="1"/>
  <c r="A4128" i="1"/>
  <c r="A4127" i="1"/>
  <c r="A4126" i="1"/>
  <c r="A4125" i="1"/>
  <c r="A4124" i="1"/>
  <c r="A4123" i="1"/>
  <c r="A4122" i="1"/>
  <c r="A4121" i="1"/>
  <c r="A4120" i="1"/>
  <c r="A4119" i="1"/>
  <c r="A4118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1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3" i="1"/>
  <c r="A4082" i="1"/>
  <c r="A4081" i="1"/>
  <c r="A4080" i="1"/>
  <c r="A4079" i="1"/>
  <c r="A4078" i="1"/>
  <c r="A4077" i="1"/>
  <c r="A4076" i="1"/>
  <c r="A4075" i="1"/>
  <c r="A4074" i="1"/>
  <c r="A4073" i="1"/>
  <c r="A4072" i="1"/>
  <c r="A4071" i="1"/>
  <c r="A4070" i="1"/>
  <c r="A4069" i="1"/>
  <c r="A4068" i="1"/>
  <c r="A4067" i="1"/>
  <c r="A4066" i="1"/>
  <c r="A4065" i="1"/>
  <c r="A4064" i="1"/>
  <c r="A4063" i="1"/>
  <c r="A4062" i="1"/>
  <c r="A4061" i="1"/>
  <c r="A4060" i="1"/>
  <c r="A4059" i="1"/>
  <c r="A4058" i="1"/>
  <c r="A4057" i="1"/>
  <c r="A4056" i="1"/>
  <c r="A4055" i="1"/>
  <c r="A4054" i="1"/>
  <c r="A4053" i="1"/>
  <c r="A4052" i="1"/>
  <c r="A4051" i="1"/>
  <c r="A4050" i="1"/>
  <c r="A4049" i="1"/>
  <c r="A4048" i="1"/>
  <c r="A4047" i="1"/>
  <c r="A4046" i="1"/>
  <c r="A4045" i="1"/>
  <c r="A4044" i="1"/>
  <c r="A4043" i="1"/>
  <c r="A4042" i="1"/>
  <c r="A4041" i="1"/>
  <c r="A4040" i="1"/>
  <c r="A4039" i="1"/>
  <c r="A4038" i="1"/>
  <c r="A4037" i="1"/>
  <c r="A4036" i="1"/>
  <c r="A4035" i="1"/>
  <c r="A4034" i="1"/>
  <c r="A4033" i="1"/>
  <c r="A4032" i="1"/>
  <c r="A4031" i="1"/>
  <c r="A4030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9" i="1"/>
  <c r="A4008" i="1"/>
  <c r="A4007" i="1"/>
  <c r="A4006" i="1"/>
  <c r="A4005" i="1"/>
  <c r="A4004" i="1"/>
  <c r="A4003" i="1"/>
  <c r="A4002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3" i="1"/>
  <c r="A3982" i="1"/>
  <c r="A3981" i="1"/>
  <c r="A3980" i="1"/>
  <c r="A3979" i="1"/>
  <c r="A3978" i="1"/>
  <c r="A3977" i="1"/>
  <c r="A3976" i="1"/>
  <c r="A3975" i="1"/>
  <c r="A3974" i="1"/>
  <c r="A3973" i="1"/>
  <c r="A3972" i="1"/>
  <c r="A3971" i="1"/>
  <c r="A3970" i="1"/>
  <c r="A3969" i="1"/>
  <c r="A3968" i="1"/>
  <c r="A3967" i="1"/>
  <c r="A3966" i="1"/>
  <c r="A3965" i="1"/>
  <c r="A3964" i="1"/>
  <c r="A3963" i="1"/>
  <c r="A3962" i="1"/>
  <c r="A3961" i="1"/>
  <c r="A3960" i="1"/>
  <c r="A3959" i="1"/>
  <c r="A3958" i="1"/>
  <c r="A3957" i="1"/>
  <c r="A3956" i="1"/>
  <c r="A3955" i="1"/>
  <c r="A3954" i="1"/>
  <c r="A3953" i="1"/>
  <c r="A3952" i="1"/>
  <c r="A3951" i="1"/>
  <c r="A3950" i="1"/>
  <c r="A3949" i="1"/>
  <c r="A3948" i="1"/>
  <c r="A3947" i="1"/>
  <c r="A3946" i="1"/>
  <c r="A3945" i="1"/>
  <c r="A3944" i="1"/>
  <c r="A3943" i="1"/>
  <c r="A3942" i="1"/>
  <c r="A3941" i="1"/>
  <c r="A3940" i="1"/>
  <c r="A3939" i="1"/>
  <c r="A3938" i="1"/>
  <c r="A3937" i="1"/>
  <c r="A3936" i="1"/>
  <c r="A3935" i="1"/>
  <c r="A3934" i="1"/>
  <c r="A3933" i="1"/>
  <c r="A3932" i="1"/>
  <c r="A3931" i="1"/>
  <c r="A3930" i="1"/>
  <c r="A3929" i="1"/>
  <c r="A3928" i="1"/>
  <c r="A3927" i="1"/>
  <c r="A3926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2" i="1"/>
  <c r="A3911" i="1"/>
  <c r="A3910" i="1"/>
  <c r="A3909" i="1"/>
  <c r="A3908" i="1"/>
  <c r="A3907" i="1"/>
  <c r="A3906" i="1"/>
  <c r="A3905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5" i="1"/>
  <c r="A3884" i="1"/>
  <c r="A3883" i="1"/>
  <c r="A3882" i="1"/>
  <c r="A3881" i="1"/>
  <c r="A3880" i="1"/>
  <c r="A3879" i="1"/>
  <c r="A3878" i="1"/>
  <c r="A3877" i="1"/>
  <c r="A3876" i="1"/>
  <c r="A3875" i="1"/>
  <c r="A3874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1" i="1"/>
  <c r="A3860" i="1"/>
  <c r="A3859" i="1"/>
  <c r="A3858" i="1"/>
  <c r="A3857" i="1"/>
  <c r="A3856" i="1"/>
  <c r="A3855" i="1"/>
  <c r="A3854" i="1"/>
  <c r="A3853" i="1"/>
  <c r="A3852" i="1"/>
  <c r="A3851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8" i="1"/>
  <c r="A3837" i="1"/>
  <c r="A3836" i="1"/>
  <c r="A3835" i="1"/>
  <c r="A3834" i="1"/>
  <c r="A3833" i="1"/>
  <c r="A3832" i="1"/>
  <c r="A3831" i="1"/>
  <c r="A3830" i="1"/>
  <c r="A3829" i="1"/>
  <c r="A3828" i="1"/>
  <c r="A3827" i="1"/>
  <c r="A3826" i="1"/>
  <c r="A3825" i="1"/>
  <c r="A3824" i="1"/>
  <c r="A3823" i="1"/>
  <c r="A3822" i="1"/>
  <c r="A3821" i="1"/>
  <c r="A3820" i="1"/>
  <c r="A3819" i="1"/>
  <c r="A3818" i="1"/>
  <c r="A3817" i="1"/>
  <c r="A3816" i="1"/>
  <c r="A3815" i="1"/>
  <c r="A3814" i="1"/>
  <c r="A3813" i="1"/>
  <c r="A3812" i="1"/>
  <c r="A3811" i="1"/>
  <c r="A3810" i="1"/>
  <c r="A3809" i="1"/>
  <c r="A3808" i="1"/>
  <c r="A3807" i="1"/>
  <c r="A3806" i="1"/>
  <c r="A3805" i="1"/>
  <c r="A3804" i="1"/>
  <c r="A3803" i="1"/>
  <c r="A3802" i="1"/>
  <c r="A3801" i="1"/>
  <c r="A3800" i="1"/>
  <c r="A3799" i="1"/>
  <c r="A3798" i="1"/>
  <c r="A3797" i="1"/>
  <c r="A3796" i="1"/>
  <c r="A3795" i="1"/>
  <c r="A3794" i="1"/>
  <c r="A3793" i="1"/>
  <c r="A3792" i="1"/>
  <c r="A3791" i="1"/>
  <c r="A3790" i="1"/>
  <c r="A3789" i="1"/>
  <c r="A3788" i="1"/>
  <c r="A3787" i="1"/>
  <c r="A3786" i="1"/>
  <c r="A3785" i="1"/>
  <c r="A3784" i="1"/>
  <c r="A3783" i="1"/>
  <c r="A3782" i="1"/>
  <c r="A3781" i="1"/>
  <c r="A3780" i="1"/>
  <c r="A3779" i="1"/>
  <c r="A3778" i="1"/>
  <c r="A3777" i="1"/>
  <c r="A3776" i="1"/>
  <c r="A3775" i="1"/>
  <c r="A3774" i="1"/>
  <c r="A3773" i="1"/>
  <c r="A3772" i="1"/>
  <c r="A3771" i="1"/>
  <c r="A3770" i="1"/>
  <c r="A3769" i="1"/>
  <c r="A3768" i="1"/>
  <c r="A3767" i="1"/>
  <c r="A3766" i="1"/>
  <c r="A3765" i="1"/>
  <c r="A3764" i="1"/>
  <c r="A3763" i="1"/>
  <c r="A3762" i="1"/>
  <c r="A3761" i="1"/>
  <c r="A3760" i="1"/>
  <c r="A3759" i="1"/>
  <c r="A3758" i="1"/>
  <c r="A3757" i="1"/>
  <c r="A3756" i="1"/>
  <c r="A3755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9" i="1"/>
  <c r="A3738" i="1"/>
  <c r="A3737" i="1"/>
  <c r="A3736" i="1"/>
  <c r="A3735" i="1"/>
  <c r="A3734" i="1"/>
  <c r="A3733" i="1"/>
  <c r="A3732" i="1"/>
  <c r="A3731" i="1"/>
  <c r="A3730" i="1"/>
  <c r="A3729" i="1"/>
  <c r="A3728" i="1"/>
  <c r="A3727" i="1"/>
  <c r="A3726" i="1"/>
  <c r="A3725" i="1"/>
  <c r="A3724" i="1"/>
  <c r="A3723" i="1"/>
  <c r="A3722" i="1"/>
  <c r="A3721" i="1"/>
  <c r="A3720" i="1"/>
  <c r="A3719" i="1"/>
  <c r="A3718" i="1"/>
  <c r="A3717" i="1"/>
  <c r="A3716" i="1"/>
  <c r="A3715" i="1"/>
  <c r="A3714" i="1"/>
  <c r="A3713" i="1"/>
  <c r="A3712" i="1"/>
  <c r="A3711" i="1"/>
  <c r="A3710" i="1"/>
  <c r="A3709" i="1"/>
  <c r="A3708" i="1"/>
  <c r="A3707" i="1"/>
  <c r="A3706" i="1"/>
  <c r="A3705" i="1"/>
  <c r="A3704" i="1"/>
  <c r="A3703" i="1"/>
  <c r="A3702" i="1"/>
  <c r="A3701" i="1"/>
  <c r="A3700" i="1"/>
  <c r="A3699" i="1"/>
  <c r="A3698" i="1"/>
  <c r="A3697" i="1"/>
  <c r="A3696" i="1"/>
  <c r="A3695" i="1"/>
  <c r="A3694" i="1"/>
  <c r="A3693" i="1"/>
  <c r="A3692" i="1"/>
  <c r="A3691" i="1"/>
  <c r="A3690" i="1"/>
  <c r="A3689" i="1"/>
  <c r="A3688" i="1"/>
  <c r="A3687" i="1"/>
  <c r="A3686" i="1"/>
  <c r="A3685" i="1"/>
  <c r="A3684" i="1"/>
  <c r="A3683" i="1"/>
  <c r="A3682" i="1"/>
  <c r="A3681" i="1"/>
  <c r="A3680" i="1"/>
  <c r="A3679" i="1"/>
  <c r="A3678" i="1"/>
  <c r="A3677" i="1"/>
  <c r="A3676" i="1"/>
  <c r="A3675" i="1"/>
  <c r="A3674" i="1"/>
  <c r="A3673" i="1"/>
  <c r="A3672" i="1"/>
  <c r="A3671" i="1"/>
  <c r="A3670" i="1"/>
  <c r="A3669" i="1"/>
  <c r="A3668" i="1"/>
  <c r="A3667" i="1"/>
  <c r="A3666" i="1"/>
  <c r="A3665" i="1"/>
  <c r="A3664" i="1"/>
  <c r="A3663" i="1"/>
  <c r="A3662" i="1"/>
  <c r="A3661" i="1"/>
  <c r="A3660" i="1"/>
  <c r="A3659" i="1"/>
  <c r="A3658" i="1"/>
  <c r="A3657" i="1"/>
  <c r="A3656" i="1"/>
  <c r="A3655" i="1"/>
  <c r="A3654" i="1"/>
  <c r="A3653" i="1"/>
  <c r="A3652" i="1"/>
  <c r="A3651" i="1"/>
  <c r="A3650" i="1"/>
  <c r="A3649" i="1"/>
  <c r="A3648" i="1"/>
  <c r="A3647" i="1"/>
  <c r="A3646" i="1"/>
  <c r="A3645" i="1"/>
  <c r="A3644" i="1"/>
  <c r="A3643" i="1"/>
  <c r="A3642" i="1"/>
  <c r="A3641" i="1"/>
  <c r="A3640" i="1"/>
  <c r="A3639" i="1"/>
  <c r="A3638" i="1"/>
  <c r="A3637" i="1"/>
  <c r="A3636" i="1"/>
  <c r="A3635" i="1"/>
  <c r="A3634" i="1"/>
  <c r="A3633" i="1"/>
  <c r="A3632" i="1"/>
  <c r="A3631" i="1"/>
  <c r="A3630" i="1"/>
  <c r="A3629" i="1"/>
  <c r="A3628" i="1"/>
  <c r="A3627" i="1"/>
  <c r="A3626" i="1"/>
  <c r="A3625" i="1"/>
  <c r="A3624" i="1"/>
  <c r="A3623" i="1"/>
  <c r="A3622" i="1"/>
  <c r="A3621" i="1"/>
  <c r="A3620" i="1"/>
  <c r="A3619" i="1"/>
  <c r="A3618" i="1"/>
  <c r="A3617" i="1"/>
  <c r="A3616" i="1"/>
  <c r="A3615" i="1"/>
  <c r="A3614" i="1"/>
  <c r="A3613" i="1"/>
  <c r="A3612" i="1"/>
  <c r="A3611" i="1"/>
  <c r="A3610" i="1"/>
  <c r="A3609" i="1"/>
  <c r="A3608" i="1"/>
  <c r="A3607" i="1"/>
  <c r="A3606" i="1"/>
  <c r="A3605" i="1"/>
  <c r="A3604" i="1"/>
  <c r="A3603" i="1"/>
  <c r="A3602" i="1"/>
  <c r="A3601" i="1"/>
  <c r="A3600" i="1"/>
  <c r="A3599" i="1"/>
  <c r="A3598" i="1"/>
  <c r="A3597" i="1"/>
  <c r="A3596" i="1"/>
  <c r="A3595" i="1"/>
  <c r="A3594" i="1"/>
  <c r="A3593" i="1"/>
  <c r="A3592" i="1"/>
  <c r="A3591" i="1"/>
  <c r="A3590" i="1"/>
  <c r="A3589" i="1"/>
  <c r="A3588" i="1"/>
  <c r="A3587" i="1"/>
  <c r="A3586" i="1"/>
  <c r="A3585" i="1"/>
  <c r="A3584" i="1"/>
  <c r="A3583" i="1"/>
  <c r="A3582" i="1"/>
  <c r="A3581" i="1"/>
  <c r="A3580" i="1"/>
  <c r="A3579" i="1"/>
  <c r="A3578" i="1"/>
  <c r="A3577" i="1"/>
  <c r="A3576" i="1"/>
  <c r="A3575" i="1"/>
  <c r="A3574" i="1"/>
  <c r="A3573" i="1"/>
  <c r="A3572" i="1"/>
  <c r="A3571" i="1"/>
  <c r="A3570" i="1"/>
  <c r="A3569" i="1"/>
  <c r="A3568" i="1"/>
  <c r="A3567" i="1"/>
  <c r="A3566" i="1"/>
  <c r="A3565" i="1"/>
  <c r="A3564" i="1"/>
  <c r="A3563" i="1"/>
  <c r="A3562" i="1"/>
  <c r="A3561" i="1"/>
  <c r="A3560" i="1"/>
  <c r="A3559" i="1"/>
  <c r="A3558" i="1"/>
  <c r="A3557" i="1"/>
  <c r="A3556" i="1"/>
  <c r="A3555" i="1"/>
  <c r="A3554" i="1"/>
  <c r="A3553" i="1"/>
  <c r="A3552" i="1"/>
  <c r="A3551" i="1"/>
  <c r="A3550" i="1"/>
  <c r="A3549" i="1"/>
  <c r="A3548" i="1"/>
  <c r="A3547" i="1"/>
  <c r="A3546" i="1"/>
  <c r="A3545" i="1"/>
  <c r="A3544" i="1"/>
  <c r="A3543" i="1"/>
  <c r="A3542" i="1"/>
  <c r="A3541" i="1"/>
  <c r="A3540" i="1"/>
  <c r="A3539" i="1"/>
  <c r="A3538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5" i="1"/>
  <c r="A3524" i="1"/>
  <c r="A3523" i="1"/>
  <c r="A3522" i="1"/>
  <c r="A3521" i="1"/>
  <c r="A3520" i="1"/>
  <c r="A3519" i="1"/>
  <c r="A3518" i="1"/>
  <c r="A3517" i="1"/>
  <c r="A3516" i="1"/>
  <c r="A3515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8" i="1"/>
  <c r="A3497" i="1"/>
  <c r="A3496" i="1"/>
  <c r="A3495" i="1"/>
  <c r="A3494" i="1"/>
  <c r="A3493" i="1"/>
  <c r="A3492" i="1"/>
  <c r="A3491" i="1"/>
  <c r="A3490" i="1"/>
  <c r="A3489" i="1"/>
  <c r="A3488" i="1"/>
  <c r="A3487" i="1"/>
  <c r="A3486" i="1"/>
  <c r="A3485" i="1"/>
  <c r="A3484" i="1"/>
  <c r="A3483" i="1"/>
  <c r="A3482" i="1"/>
  <c r="A3481" i="1"/>
  <c r="A3480" i="1"/>
  <c r="A3479" i="1"/>
  <c r="A3478" i="1"/>
  <c r="A3477" i="1"/>
  <c r="A3476" i="1"/>
  <c r="A3475" i="1"/>
  <c r="A3474" i="1"/>
  <c r="A3473" i="1"/>
  <c r="A3472" i="1"/>
  <c r="A3471" i="1"/>
  <c r="A3470" i="1"/>
  <c r="A3469" i="1"/>
  <c r="A3468" i="1"/>
  <c r="A3467" i="1"/>
  <c r="A3466" i="1"/>
  <c r="A3465" i="1"/>
  <c r="A3464" i="1"/>
  <c r="A3463" i="1"/>
  <c r="A3462" i="1"/>
  <c r="A3461" i="1"/>
  <c r="A3460" i="1"/>
  <c r="A3459" i="1"/>
  <c r="A3458" i="1"/>
  <c r="A3457" i="1"/>
  <c r="A3456" i="1"/>
  <c r="A3455" i="1"/>
  <c r="A3454" i="1"/>
  <c r="A3453" i="1"/>
  <c r="A3452" i="1"/>
  <c r="A3451" i="1"/>
  <c r="A3450" i="1"/>
  <c r="A3449" i="1"/>
  <c r="A3448" i="1"/>
  <c r="A3447" i="1"/>
  <c r="A3446" i="1"/>
  <c r="A3445" i="1"/>
  <c r="A3444" i="1"/>
  <c r="A3443" i="1"/>
  <c r="A3442" i="1"/>
  <c r="A3441" i="1"/>
  <c r="A3440" i="1"/>
  <c r="A3439" i="1"/>
  <c r="A3438" i="1"/>
  <c r="A3437" i="1"/>
  <c r="A3436" i="1"/>
  <c r="A3435" i="1"/>
  <c r="A3434" i="1"/>
  <c r="A3433" i="1"/>
  <c r="A3432" i="1"/>
  <c r="A3431" i="1"/>
  <c r="A3430" i="1"/>
  <c r="A3429" i="1"/>
  <c r="A3428" i="1"/>
  <c r="A3427" i="1"/>
  <c r="A3426" i="1"/>
  <c r="A3425" i="1"/>
  <c r="A3424" i="1"/>
  <c r="A3423" i="1"/>
  <c r="A3422" i="1"/>
  <c r="A3421" i="1"/>
  <c r="A3420" i="1"/>
  <c r="A3419" i="1"/>
  <c r="A3418" i="1"/>
  <c r="A3417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2" i="1"/>
  <c r="A3401" i="1"/>
  <c r="A3400" i="1"/>
  <c r="A3399" i="1"/>
  <c r="A3398" i="1"/>
  <c r="A3397" i="1"/>
  <c r="A3396" i="1"/>
  <c r="A3395" i="1"/>
  <c r="A3394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4" i="1"/>
  <c r="A3373" i="1"/>
  <c r="A3372" i="1"/>
  <c r="A3371" i="1"/>
  <c r="A3370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1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2" i="1"/>
  <c r="A3331" i="1"/>
  <c r="A3330" i="1"/>
  <c r="A3329" i="1"/>
  <c r="A3328" i="1"/>
  <c r="A3327" i="1"/>
  <c r="A3326" i="1"/>
  <c r="A3325" i="1"/>
  <c r="A3324" i="1"/>
  <c r="A3323" i="1"/>
  <c r="A3322" i="1"/>
  <c r="A3321" i="1"/>
  <c r="A3320" i="1"/>
  <c r="A3319" i="1"/>
  <c r="A3318" i="1"/>
  <c r="A3317" i="1"/>
  <c r="A3316" i="1"/>
  <c r="A3315" i="1"/>
  <c r="A3314" i="1"/>
  <c r="A3313" i="1"/>
  <c r="A3312" i="1"/>
  <c r="A3311" i="1"/>
  <c r="A3310" i="1"/>
  <c r="A3309" i="1"/>
  <c r="A3308" i="1"/>
  <c r="A3307" i="1"/>
  <c r="A3306" i="1"/>
  <c r="A3305" i="1"/>
  <c r="A3304" i="1"/>
  <c r="A3303" i="1"/>
  <c r="A3302" i="1"/>
  <c r="A3301" i="1"/>
  <c r="A3300" i="1"/>
  <c r="A3299" i="1"/>
  <c r="A3298" i="1"/>
  <c r="A3297" i="1"/>
  <c r="A3296" i="1"/>
  <c r="A3295" i="1"/>
  <c r="A3294" i="1"/>
  <c r="A3293" i="1"/>
  <c r="A3292" i="1"/>
  <c r="A3291" i="1"/>
  <c r="A3290" i="1"/>
  <c r="A3289" i="1"/>
  <c r="A3288" i="1"/>
  <c r="A3287" i="1"/>
  <c r="A3286" i="1"/>
  <c r="A3285" i="1"/>
  <c r="A3284" i="1"/>
  <c r="A3283" i="1"/>
  <c r="A3282" i="1"/>
  <c r="A3281" i="1"/>
  <c r="A3280" i="1"/>
  <c r="A3279" i="1"/>
  <c r="A3278" i="1"/>
  <c r="A3277" i="1"/>
  <c r="A3276" i="1"/>
  <c r="A3275" i="1"/>
  <c r="A3274" i="1"/>
  <c r="A3273" i="1"/>
  <c r="A3272" i="1"/>
  <c r="A3271" i="1"/>
  <c r="A3270" i="1"/>
  <c r="A3269" i="1"/>
  <c r="A3268" i="1"/>
  <c r="A3267" i="1"/>
  <c r="A3266" i="1"/>
  <c r="A3265" i="1"/>
  <c r="A3264" i="1"/>
  <c r="A3263" i="1"/>
  <c r="A3262" i="1"/>
  <c r="A3261" i="1"/>
  <c r="A3260" i="1"/>
  <c r="A3259" i="1"/>
  <c r="A3258" i="1"/>
  <c r="A3257" i="1"/>
  <c r="A3256" i="1"/>
  <c r="A3255" i="1"/>
  <c r="A3254" i="1"/>
  <c r="A3253" i="1"/>
  <c r="A3252" i="1"/>
  <c r="A3251" i="1"/>
  <c r="A3250" i="1"/>
  <c r="A3249" i="1"/>
  <c r="A3248" i="1"/>
  <c r="A3247" i="1"/>
  <c r="A3246" i="1"/>
  <c r="A3245" i="1"/>
  <c r="A3244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1" i="1"/>
  <c r="A3230" i="1"/>
  <c r="A3229" i="1"/>
  <c r="A3228" i="1"/>
  <c r="A3227" i="1"/>
  <c r="A3226" i="1"/>
  <c r="A3225" i="1"/>
  <c r="A3224" i="1"/>
  <c r="A3223" i="1"/>
  <c r="A3222" i="1"/>
  <c r="A3221" i="1"/>
  <c r="A3220" i="1"/>
  <c r="A3219" i="1"/>
  <c r="A3218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3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9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6" i="1"/>
  <c r="A3165" i="1"/>
  <c r="A3164" i="1"/>
  <c r="A3163" i="1"/>
  <c r="A3162" i="1"/>
  <c r="A3161" i="1"/>
  <c r="A3160" i="1"/>
  <c r="A3159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2" i="1"/>
  <c r="A3141" i="1"/>
  <c r="A3140" i="1"/>
  <c r="A3139" i="1"/>
  <c r="A3138" i="1"/>
  <c r="A3137" i="1"/>
  <c r="A3136" i="1"/>
  <c r="A3135" i="1"/>
  <c r="A3134" i="1"/>
  <c r="A3133" i="1"/>
  <c r="A3132" i="1"/>
  <c r="A3131" i="1"/>
  <c r="A3130" i="1"/>
  <c r="A3129" i="1"/>
  <c r="A3128" i="1"/>
  <c r="A3127" i="1"/>
  <c r="A3126" i="1"/>
  <c r="A3125" i="1"/>
  <c r="A3124" i="1"/>
  <c r="A3123" i="1"/>
  <c r="A3122" i="1"/>
  <c r="A3121" i="1"/>
  <c r="A3120" i="1"/>
  <c r="A3119" i="1"/>
  <c r="A3118" i="1"/>
  <c r="A3117" i="1"/>
  <c r="A3116" i="1"/>
  <c r="A3115" i="1"/>
  <c r="A3114" i="1"/>
  <c r="A3113" i="1"/>
  <c r="A3112" i="1"/>
  <c r="A3111" i="1"/>
  <c r="A3110" i="1"/>
  <c r="A3109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9" i="1"/>
  <c r="A3088" i="1"/>
  <c r="A3087" i="1"/>
  <c r="A3086" i="1"/>
  <c r="A3085" i="1"/>
  <c r="A3084" i="1"/>
  <c r="A3083" i="1"/>
  <c r="A3082" i="1"/>
  <c r="A3081" i="1"/>
  <c r="A3080" i="1"/>
  <c r="A3079" i="1"/>
  <c r="A3078" i="1"/>
  <c r="A3077" i="1"/>
  <c r="A3076" i="1"/>
  <c r="A3075" i="1"/>
  <c r="A3074" i="1"/>
  <c r="A3073" i="1"/>
  <c r="A3072" i="1"/>
  <c r="A3071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6" i="1"/>
  <c r="A3055" i="1"/>
  <c r="A3054" i="1"/>
  <c r="A3053" i="1"/>
  <c r="A3052" i="1"/>
  <c r="A3051" i="1"/>
  <c r="A3050" i="1"/>
  <c r="A3049" i="1"/>
  <c r="A3048" i="1"/>
  <c r="A3047" i="1"/>
  <c r="A3046" i="1"/>
  <c r="A3045" i="1"/>
  <c r="A3044" i="1"/>
  <c r="A3043" i="1"/>
  <c r="A3042" i="1"/>
  <c r="A3041" i="1"/>
  <c r="A3040" i="1"/>
  <c r="A3039" i="1"/>
  <c r="A3038" i="1"/>
  <c r="A3037" i="1"/>
  <c r="A3036" i="1"/>
  <c r="A3035" i="1"/>
  <c r="A3034" i="1"/>
  <c r="A3033" i="1"/>
  <c r="A3032" i="1"/>
  <c r="A3031" i="1"/>
  <c r="A3030" i="1"/>
  <c r="A3029" i="1"/>
  <c r="A3028" i="1"/>
  <c r="A3027" i="1"/>
  <c r="A3026" i="1"/>
  <c r="A3025" i="1"/>
  <c r="A3024" i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 l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<sst xmlns="http://schemas.openxmlformats.org/spreadsheetml/2006/main" count="17417" uniqueCount="16301">
  <si>
    <t>DPS2-10-B-S-0-40</t>
  </si>
  <si>
    <t>Item Number</t>
  </si>
  <si>
    <t>Description</t>
  </si>
  <si>
    <t>DPS2-10-T-S-0-40</t>
  </si>
  <si>
    <t>DPS2-10-P-F-0-20</t>
  </si>
  <si>
    <t>DPS2-20-P-F-0-40</t>
  </si>
  <si>
    <t>DPS2-10-V-F-0-20</t>
  </si>
  <si>
    <t>DPS2-10-P-F-0-40</t>
  </si>
  <si>
    <t>DPS2-20-P-F-0-20</t>
  </si>
  <si>
    <t>DPS2-16-T-F-0-40</t>
  </si>
  <si>
    <t>DPS2-16-P-F-0-20</t>
  </si>
  <si>
    <t>DPS2-10-S-F-0-5</t>
  </si>
  <si>
    <t>DPS2-10-R-F-0-20</t>
  </si>
  <si>
    <t>DPS2-10-T-F-0-160</t>
  </si>
  <si>
    <t>DPS2-10-R-F-0-40</t>
  </si>
  <si>
    <t>DPS2-20-T-F-0-40</t>
  </si>
  <si>
    <t>DPS2-20-T-S-0-40</t>
  </si>
  <si>
    <t>DPS2-20-S-F-0-40</t>
  </si>
  <si>
    <t>DPS2-16-V-F-0-5</t>
  </si>
  <si>
    <t>DPS2-10-R-F-0-160</t>
  </si>
  <si>
    <t>DPS2-20-S-S-0-40</t>
  </si>
  <si>
    <t>DPS2-10V-P-F-0-160</t>
  </si>
  <si>
    <t>DPS2-10-V-F-6T-80</t>
  </si>
  <si>
    <t>DPS2-16V-V-F-0-80</t>
  </si>
  <si>
    <t>DPS2-10-S-F-0-160</t>
  </si>
  <si>
    <t>DPS2-20V-T-S-0-80</t>
  </si>
  <si>
    <t>DPS2-20-V-F-0-160</t>
  </si>
  <si>
    <t>DPS2-20-T-F-0-10</t>
  </si>
  <si>
    <t>DPS2-16-S-F-0-40</t>
  </si>
  <si>
    <t>DPS2-10-V-F-0-160</t>
  </si>
  <si>
    <t>DPS2-10-P-F-0-5</t>
  </si>
  <si>
    <t>DPS2-20V-V-F-0-80</t>
  </si>
  <si>
    <t>DPS2-20V-V-F-0-20</t>
  </si>
  <si>
    <t>DPS2-20-V-S-0-160</t>
  </si>
  <si>
    <t>DPS2-10-B-F-0-10</t>
  </si>
  <si>
    <t>DPS2-10-T-S-0-160</t>
  </si>
  <si>
    <t>DPS2-10V-F-F-0-160</t>
  </si>
  <si>
    <t>DPS2-20-T-F-0-40-AA</t>
  </si>
  <si>
    <t>DPS2-16V-V-F-0-5</t>
  </si>
  <si>
    <t>1DS30R7S SEQUENCE CARTRIDGE DIR</t>
  </si>
  <si>
    <t>LE402N-02 LOGIC ELEMENT</t>
  </si>
  <si>
    <t>LEV402N0.2 VENTABLE LOGIC ELEMENT</t>
  </si>
  <si>
    <t>LEV402V0.2 VENTABLE CARTRIDGE</t>
  </si>
  <si>
    <t>DPS2-10-P-F-0-80</t>
  </si>
  <si>
    <t>DPS2-10-V-F-0-80</t>
  </si>
  <si>
    <t>DPS2-16-P-F-0-80</t>
  </si>
  <si>
    <t>DPS2-16-V-F-0-80</t>
  </si>
  <si>
    <t>DPS2-20-P-F-0-80</t>
  </si>
  <si>
    <t>DPS2-20-V-F-0-80</t>
  </si>
  <si>
    <t>DPS2-10-P-F-0-10</t>
  </si>
  <si>
    <t>DPS2-10-P-F-0-160</t>
  </si>
  <si>
    <t>DPS2-10-P-S-0-160</t>
  </si>
  <si>
    <t>DPS2-10-T-F-0-40</t>
  </si>
  <si>
    <t>DPS2-10-S-F-0-80</t>
  </si>
  <si>
    <t>DPS2-10-R-F-0-80</t>
  </si>
  <si>
    <t>DPS2-16-F-F-0-160</t>
  </si>
  <si>
    <t>DPS2-20-F-F-0-80</t>
  </si>
  <si>
    <t>DPS2-10-F-F-0-160</t>
  </si>
  <si>
    <t>DPS2-10-F-F-0-80</t>
  </si>
  <si>
    <t>DPS2-16-T-F-0-5</t>
  </si>
  <si>
    <t>DPS2-20-F-F-0-160</t>
  </si>
  <si>
    <t>DPS2-20-P-F-0-160</t>
  </si>
  <si>
    <t>DPS2-20-T-F-0-5</t>
  </si>
  <si>
    <t>DPS2-20-T-S-0-5</t>
  </si>
  <si>
    <t>DPS2-20-B-S-0-5</t>
  </si>
  <si>
    <t>DPS2-10-F-F-0-40</t>
  </si>
  <si>
    <t>DPS2-10-S-F-0-40</t>
  </si>
  <si>
    <t>DPS2-10-V-F-0-40</t>
  </si>
  <si>
    <t>DPS2-16-P-F-0-160</t>
  </si>
  <si>
    <t>DPS2-16-R-F-0-40</t>
  </si>
  <si>
    <t>DPS2-10-T-F-0-20</t>
  </si>
  <si>
    <t>DPS2-16-S-F-0-80</t>
  </si>
  <si>
    <t>DPS2-16-R-F-0-160</t>
  </si>
  <si>
    <t>DPS2-10-B-S-0-80</t>
  </si>
  <si>
    <t>DPS2-10-F-S-0-80</t>
  </si>
  <si>
    <t>DPS2-10-R-S-0-80</t>
  </si>
  <si>
    <t>DPS2-10-T-F-0-80</t>
  </si>
  <si>
    <t>DPS2-10-T-S-0-80</t>
  </si>
  <si>
    <t>DPS2-16-B-F-0-40</t>
  </si>
  <si>
    <t>DPS2-16-B-F-0-80</t>
  </si>
  <si>
    <t>DPS2-16-F-F-0-40</t>
  </si>
  <si>
    <t>DPS2-16-F-F-0-80</t>
  </si>
  <si>
    <t>DPS2-16-P-F-0-40</t>
  </si>
  <si>
    <t>DPS2-16-R-F-0-80</t>
  </si>
  <si>
    <t>DPS2-16-T-F-0-80</t>
  </si>
  <si>
    <t>DPS2-16-V-F-0-160</t>
  </si>
  <si>
    <t>DPS2-16-V-F-0-20</t>
  </si>
  <si>
    <t>DPS2-16-V-F-0-40</t>
  </si>
  <si>
    <t>DPS2-20-S-S-0-80</t>
  </si>
  <si>
    <t>DPS2-20-T-F-0-80</t>
  </si>
  <si>
    <t>DPS2-20-T-S-0-80</t>
  </si>
  <si>
    <t>DPS2-20-V-F-0-5</t>
  </si>
  <si>
    <t xml:space="preserve">LER402N2-1.0S  </t>
  </si>
  <si>
    <t>DPS2-16-P-S-0-5</t>
  </si>
  <si>
    <t>DPS2-16-P-S-0-160</t>
  </si>
  <si>
    <t>DPS2-16-B-S-0-5</t>
  </si>
  <si>
    <t>DPS2-16-S-S-0-40</t>
  </si>
  <si>
    <t>DPS2-10-S-S-0-40</t>
  </si>
  <si>
    <t>DPS2-16-T-S-0-40</t>
  </si>
  <si>
    <t>DPS2-16-P-S-0-40</t>
  </si>
  <si>
    <t>DPS2-20-B-S-0-40</t>
  </si>
  <si>
    <t>DPS2-20-R-F-0-40</t>
  </si>
  <si>
    <t>DPS2-16-B-F-0-5</t>
  </si>
  <si>
    <t>DPS2-16-T-F-0-80-AA</t>
  </si>
  <si>
    <t>DPS2-20-T-S-0-5-AA</t>
  </si>
  <si>
    <t>DPS2-12-F-F-0-160</t>
  </si>
  <si>
    <t>DPS2-12-V-F-0-80</t>
  </si>
  <si>
    <t>DPS2-12-P-F-0-80</t>
  </si>
  <si>
    <t>DPS2-12-T-F-0-40</t>
  </si>
  <si>
    <t>DPS2-12-S-F-0-40</t>
  </si>
  <si>
    <t>DPS2-12-S-F-0-160</t>
  </si>
  <si>
    <t>DPS2-12-B-F-0-40</t>
  </si>
  <si>
    <t>DPS2-12-B-F-0-160</t>
  </si>
  <si>
    <t>DPS2-12-T-F-0-160</t>
  </si>
  <si>
    <t>DPS2-12-F-F-0-40</t>
  </si>
  <si>
    <t>DPS2-12-V-F-0-40</t>
  </si>
  <si>
    <t>DPS2-12-F-F-0-80</t>
  </si>
  <si>
    <t>DPS2-12-P-F-0-160</t>
  </si>
  <si>
    <t>DPS2-12-R-F-0-80</t>
  </si>
  <si>
    <t>DPS2-16-T-F-0-40-AA</t>
  </si>
  <si>
    <t>DPS2-12-V-F-0-160</t>
  </si>
  <si>
    <t>DPS2-20-T-F-0-5-AA</t>
  </si>
  <si>
    <t>DPS2-20-R-F-0-20</t>
  </si>
  <si>
    <t>DPS2-20-R-F-0-160</t>
  </si>
  <si>
    <t>DPS2-16-F-S-0-80</t>
  </si>
  <si>
    <t>DPS2-16-P-S-0-80</t>
  </si>
  <si>
    <t>DPS2-16-T-S-0-5</t>
  </si>
  <si>
    <t>DPS2-16-T-S-0-80</t>
  </si>
  <si>
    <t>DSV3-8V-B-A-6T</t>
  </si>
  <si>
    <t>DSV1-10V-B-0</t>
  </si>
  <si>
    <t>DSV4-10-C-0-160</t>
  </si>
  <si>
    <t>DSV4-16-C-0-160</t>
  </si>
  <si>
    <t>DSV2-8-B-0</t>
  </si>
  <si>
    <t>DSV3-12-B-S-8T</t>
  </si>
  <si>
    <t>DSV2-4-B-000-00</t>
  </si>
  <si>
    <t xml:space="preserve">DSV2-8-B-0-A  </t>
  </si>
  <si>
    <t>DSV4-12-C-0-80</t>
  </si>
  <si>
    <t>1SB10-S</t>
  </si>
  <si>
    <t>1SB102S SHUTTLE VALVE ASSY</t>
  </si>
  <si>
    <t>1HSH701-1.0S</t>
  </si>
  <si>
    <t>1SH10</t>
  </si>
  <si>
    <t>1HSH20-0.3S</t>
  </si>
  <si>
    <t>1HSH20-0.6S</t>
  </si>
  <si>
    <t>1HSH701-0.4S</t>
  </si>
  <si>
    <t>1HSH701-1.0SV</t>
  </si>
  <si>
    <t>1SB153WS PILOT SEQUENCE CARTRIDGE</t>
  </si>
  <si>
    <t>DSV1-10-B-0</t>
  </si>
  <si>
    <t>DSV4-16-C-0-40</t>
  </si>
  <si>
    <t>DSV3-16-B-A-6</t>
  </si>
  <si>
    <t>DSV4-10-C-0-80</t>
  </si>
  <si>
    <t>DSV4-16-C-0-80</t>
  </si>
  <si>
    <t>1SB202P6S BRAKE RELEASE VALVE</t>
  </si>
  <si>
    <t>1SB202P12S BRAKE RELEASE  CARTRIDGE</t>
  </si>
  <si>
    <t>1SB252P3W6S BRAKE RELEASE VALVE</t>
  </si>
  <si>
    <t>1SH20-S</t>
  </si>
  <si>
    <t>1SH20-SV</t>
  </si>
  <si>
    <t>1HSH756-6W-1.0-7S-377</t>
  </si>
  <si>
    <t>BODY STEEL 1/4 BSP C-8-2</t>
  </si>
  <si>
    <t>BODY STEEL 3/8 BSP C-8-2</t>
  </si>
  <si>
    <t>BODY STEEL 3WAYS3G</t>
  </si>
  <si>
    <t>BODY STEEL 1/4 BSP C-8-3</t>
  </si>
  <si>
    <t>BODY 3/8 BSP - SV11-8-4 '3G'</t>
  </si>
  <si>
    <t>BODY ALUM 3/8-1/4 BSP C-10-3S 210 BAR</t>
  </si>
  <si>
    <t>BODY STEEL 3/4 BSP C-12-2</t>
  </si>
  <si>
    <t>30914-1R1 BODY C-12-2SAE#12NFPA</t>
  </si>
  <si>
    <t>BODY STEEL 3/4 BSP C-12-3</t>
  </si>
  <si>
    <t>BODY STEEL 1/2 BSP C-12-2</t>
  </si>
  <si>
    <t>VALVE BODY</t>
  </si>
  <si>
    <t>BODY STEEL 350BAR 8T</t>
  </si>
  <si>
    <t>BODY STEEL 1/4 BSP C-10-2</t>
  </si>
  <si>
    <t>BODY STEEL 3/8 BSP C-10-2</t>
  </si>
  <si>
    <t>BODY STEEL 1/2 BSP C-16-2</t>
  </si>
  <si>
    <t>BODY STEEL 3/4 BSP C-16-2</t>
  </si>
  <si>
    <t>BODY STEEL 350BAR 6G</t>
  </si>
  <si>
    <t>BODY STEEL 1 BSP C-20-2</t>
  </si>
  <si>
    <t>BODY STEEL 350BAR C-20</t>
  </si>
  <si>
    <t>BODY STEEL 1/4 BSP C-10-3</t>
  </si>
  <si>
    <t>BODY STEEL 3/8 BSP C-10-3</t>
  </si>
  <si>
    <t>BODY ST 3/4 BSP C-16-3 350 BAR</t>
  </si>
  <si>
    <t>31341A MNIFLD ASSY</t>
  </si>
  <si>
    <t>DGMS31E12R CETOP 3 SUB PLATE (UNPLATED)</t>
  </si>
  <si>
    <t>BODY 1AR65/2CR35 ST  3/8BSP</t>
  </si>
  <si>
    <t>BODY 1DR2/2CN/7SP*/12C* 1/4 BSP ST</t>
  </si>
  <si>
    <t>BODY 1DR2/2CN/7S*/12C ST3/8</t>
  </si>
  <si>
    <t>BODY 1SB15/1SH25 ST  1/4BSP</t>
  </si>
  <si>
    <t>BODY 1SB15/1SH25 ST  3/8BSP</t>
  </si>
  <si>
    <t>SUB-ASSY STEEL ZINC PLATED 8W</t>
  </si>
  <si>
    <t>SUB ASSY 4W STEEL  1CEESHOMP35</t>
  </si>
  <si>
    <t>BODY 1CLLR/1LR150 STEEL 1BSP</t>
  </si>
  <si>
    <t>BODY 1LR350*10W  STEEL 1-1/4BSP</t>
  </si>
  <si>
    <t xml:space="preserve">BODY STEEL 1CE350 20T  </t>
  </si>
  <si>
    <t>BODY 1CE*/4CK35 ST  3/8BSP</t>
  </si>
  <si>
    <t>BODY 1AR66*4W STEEL  1/2BSP</t>
  </si>
  <si>
    <t>BODY 1PA66*4W STEEL  1/2BSP</t>
  </si>
  <si>
    <t>THROUGH PORTED BODY FOR 1CE36-3W</t>
  </si>
  <si>
    <t>BODY 1RDS303/14C* ST  3 /8BSP</t>
  </si>
  <si>
    <t>BODY 1CE*95*4W ST  1/2BSP</t>
  </si>
  <si>
    <t>BODY 2CFRC65*4W  ST  1/2BSP</t>
  </si>
  <si>
    <t>BODY 2CFP65*4W ST  1/2BSP</t>
  </si>
  <si>
    <t>BODY 1CEE*/4CKK34  STEEL     3/8BSP</t>
  </si>
  <si>
    <t>BODY 1PD25/1RDS&amp;SB  STEEL 3/8BSP</t>
  </si>
  <si>
    <t>BODY STEEL 1CEBL153  IH101</t>
  </si>
  <si>
    <t>BODY 1PA65*3W ST  3/8BSP</t>
  </si>
  <si>
    <t>BODY 1CEE/4CKK33 3W  STEEL</t>
  </si>
  <si>
    <t>BODY 1CEL/1CER145 6W  3 /4BSP STEEL</t>
  </si>
  <si>
    <t>BODY 1CEL/1CER145 8W  1 BSP   STEEL</t>
  </si>
  <si>
    <t xml:space="preserve">BODY 1DDR35-3W-377  </t>
  </si>
  <si>
    <t xml:space="preserve">1CLLR50/S5** STEEL BODY  </t>
  </si>
  <si>
    <t xml:space="preserve">BODY S717 6W STEEL  </t>
  </si>
  <si>
    <t xml:space="preserve">BODY LER252 8W STEEL  </t>
  </si>
  <si>
    <t>BODY 1CE25 STEEL  3/8BSP</t>
  </si>
  <si>
    <t xml:space="preserve">BODY 1CEE24 STEEL 3/8BSP </t>
  </si>
  <si>
    <t>BODY 1PA/PS/VR250 ST  1BSP</t>
  </si>
  <si>
    <t xml:space="preserve">BODY 1VR150*6W ST 3/4BSP </t>
  </si>
  <si>
    <t>BODY 1PA150/1PS145  ST 3/4BSP</t>
  </si>
  <si>
    <t>BODY 1DS/1PA/1PS* ST  1/2BSP</t>
  </si>
  <si>
    <t>BODY 1*AR*/1GR155 ST  1BSP</t>
  </si>
  <si>
    <t>BODY 1CE*/4CK ST  3/4BSP</t>
  </si>
  <si>
    <t>BODY 1CLLR/1LR150 ST  3/4BSP</t>
  </si>
  <si>
    <t>BODY 1CE*/4CK350  STEEL 1-1/4BSP</t>
  </si>
  <si>
    <t>BODY 2CFD454W3W ST  1/2 &amp; 3/8BSP</t>
  </si>
  <si>
    <t>BODY STEEL 2CFD250 10W  8W</t>
  </si>
  <si>
    <t xml:space="preserve">BODY STEEL 1CE150-16T  </t>
  </si>
  <si>
    <t>SUB ASSY 1CEG150  1CEBG150 4CKG150 STEEL</t>
  </si>
  <si>
    <t>S-ASSY 1CEEC150 ST 1 BSP C15687-05</t>
  </si>
  <si>
    <t>1CEECSH150-8WS SUB  ASSEMBLY (STEEL)</t>
  </si>
  <si>
    <t>S-ASSY 1CEECSH95 STEE  3/4BSP B15936-03</t>
  </si>
  <si>
    <t>S-ASSY 1CEESH35 ST 3/4 BSP B15936-03</t>
  </si>
  <si>
    <t>S-ASSY 1CEECSH35 STEEL 3/8 BSP</t>
  </si>
  <si>
    <t>S-ASSY 1CEEC35 STEEL 3/8" BSP</t>
  </si>
  <si>
    <t>BXP16248-6WS377 -  1CEEC95-6WS377</t>
  </si>
  <si>
    <t xml:space="preserve">S-ASSY 1CEE94 ST 1/2  </t>
  </si>
  <si>
    <t xml:space="preserve">S-ASSY 1CEE94 ST 3/4  </t>
  </si>
  <si>
    <t>OVERCENTRE VALVE c/w  SHUTTLE 1/2BSP ST</t>
  </si>
  <si>
    <t>DUAL RELIEF VALVE SUB-ASSEMBLY 1DDRC35 3W</t>
  </si>
  <si>
    <t>S-ASSY 1PDC25*3W  STEEL   3/8BSP</t>
  </si>
  <si>
    <t>S-ASSY 1PUL2508WS377  ST G 1</t>
  </si>
  <si>
    <t>1PS155-6WS SUB ASSEMBLY  STEEL</t>
  </si>
  <si>
    <t>S-ASSY 1PUL65*4WS377  UNLOADER</t>
  </si>
  <si>
    <t>S-ASSY 1LLR350 10WS  STEEL     1SAE</t>
  </si>
  <si>
    <t>S-ASSY FOR TWIN PUMP UNLOADER</t>
  </si>
  <si>
    <t>S-ASSY 1LLR150*8W  STEEL    1BSP</t>
  </si>
  <si>
    <t>S-ASSY 1UL65*4W  STEEL   1/2BSP</t>
  </si>
  <si>
    <t>BODY 1CEE*/4CKK35 ST  3/8BSP</t>
  </si>
  <si>
    <t>CETOP 03 S-ASSY 03-AB -CE STEEL</t>
  </si>
  <si>
    <t>CETOP 05 OVC S-ASSY  1CE90</t>
  </si>
  <si>
    <t>BODY 1*AR*/1GR/7S* ST    1/2BSP</t>
  </si>
  <si>
    <t>BODY 1*AR*/1GR/7S* ST G33/8BSP</t>
  </si>
  <si>
    <t>BODY 1CEE*/4CKK  STEEL   3/4BSP</t>
  </si>
  <si>
    <t xml:space="preserve">BODY STEEL 1CEE95 4W  </t>
  </si>
  <si>
    <t xml:space="preserve">BODY STEEL 2CFD2508W6W  </t>
  </si>
  <si>
    <t xml:space="preserve">BODY STEEL 2CFD155  </t>
  </si>
  <si>
    <t>BODY 1CEEL/1CEER145 8W  1 BSP STEEL</t>
  </si>
  <si>
    <t xml:space="preserve">BODY LE452 10W STEEL  </t>
  </si>
  <si>
    <t>BODY 1*AR*/1GR/7S* ST    3/4BSP</t>
  </si>
  <si>
    <t>BODY 1CEE*/4CKK350 ST  1-1/4BSP</t>
  </si>
  <si>
    <t>S-ASSY. 1CEESH150 STEEL 1" BSP</t>
  </si>
  <si>
    <t>S-ASSY 1LLRC75*6W  DUAL  RELIEF ST G 3/4</t>
  </si>
  <si>
    <t>S-ASSY 1CEESH350  STEEL 1-1/4BSP</t>
  </si>
  <si>
    <t xml:space="preserve">S/A 1VRC250-16T-377  </t>
  </si>
  <si>
    <t>S-ASSY 1CEEC350  STEEL 1-1/4BSP</t>
  </si>
  <si>
    <t>MOTION CONTR S-ASSY INC  SHUTTLE ST</t>
  </si>
  <si>
    <t>S-ASSY 1PAC65*4W    1 /2BSP STEEL</t>
  </si>
  <si>
    <t xml:space="preserve">CHECK VALVE         XPR  </t>
  </si>
  <si>
    <t>FX21007A03 - JCB NUMBER  25/206600</t>
  </si>
  <si>
    <t xml:space="preserve">CHECK VALVE  </t>
  </si>
  <si>
    <t>2CFP60-R-4S</t>
  </si>
  <si>
    <t>1CE20-F-35S3</t>
  </si>
  <si>
    <t>1CE20-F-35S4</t>
  </si>
  <si>
    <t>1CE20-F-35S8</t>
  </si>
  <si>
    <t>1CE30-F-35S2</t>
  </si>
  <si>
    <t>1CE30-F-35S5</t>
  </si>
  <si>
    <t>1CE30-F-35S10</t>
  </si>
  <si>
    <t>1CER30-F-35S2</t>
  </si>
  <si>
    <t>1CER30-F-35S4</t>
  </si>
  <si>
    <t>1CEB30-F-35S-2</t>
  </si>
  <si>
    <t>1CEB30-F-35S5</t>
  </si>
  <si>
    <t>1CPB30-F-2P</t>
  </si>
  <si>
    <t>1CPBD30-F-2P</t>
  </si>
  <si>
    <t>1CE90-F-35S3</t>
  </si>
  <si>
    <t>1CE90-F-35S4</t>
  </si>
  <si>
    <t>1CE90-F-35S6</t>
  </si>
  <si>
    <t>1CE90-F-35S8</t>
  </si>
  <si>
    <t>1CER90-F-35S4</t>
  </si>
  <si>
    <t>1CEB90-F-35S4</t>
  </si>
  <si>
    <t>1CEL90-F-30S-220/60</t>
  </si>
  <si>
    <t>1CPBD90-F-2P</t>
  </si>
  <si>
    <t>1CE120-F-35S3</t>
  </si>
  <si>
    <t>1CPBD120-F-2P</t>
  </si>
  <si>
    <t>1CE140-F-30S4</t>
  </si>
  <si>
    <t>1CE140-F-30S6</t>
  </si>
  <si>
    <t>1CER140-F-30S4</t>
  </si>
  <si>
    <t>1CER140-F-30S6</t>
  </si>
  <si>
    <t>1CE300-F-35S3</t>
  </si>
  <si>
    <t>1CE300-F-35S8</t>
  </si>
  <si>
    <t>1CEB300-F-35S3</t>
  </si>
  <si>
    <t>1CEB300-F-35S8</t>
  </si>
  <si>
    <t>1CPBD300-F-2P</t>
  </si>
  <si>
    <t>1SE30-F-NS2</t>
  </si>
  <si>
    <t>1SE30-F-NS5</t>
  </si>
  <si>
    <t>1SE30-F-NS10</t>
  </si>
  <si>
    <t>1SEL30-F-30S230/50</t>
  </si>
  <si>
    <t>1SE90-F-NS4</t>
  </si>
  <si>
    <t>1SER90-F-35S4</t>
  </si>
  <si>
    <t>1SEB90-F-PS4</t>
  </si>
  <si>
    <t>1SE140-F-40S4</t>
  </si>
  <si>
    <t>1SE140-F-30S6</t>
  </si>
  <si>
    <t>1SER140-F-30S4</t>
  </si>
  <si>
    <t>1CEB120-P-35S3</t>
  </si>
  <si>
    <t>1CEB120-P-35S8</t>
  </si>
  <si>
    <t>1CEBD120-F-335P8</t>
  </si>
  <si>
    <t>1CEBD120-F-335P22</t>
  </si>
  <si>
    <t>1CEBD300-F-335P3</t>
  </si>
  <si>
    <t>1CEBD300-F-335P8</t>
  </si>
  <si>
    <t>1CEBL356-F16-35P</t>
  </si>
  <si>
    <t>1SE90-F-35S8</t>
  </si>
  <si>
    <t>1CE140-F-20S4</t>
  </si>
  <si>
    <t>1CER140-F-20S6</t>
  </si>
  <si>
    <t>1SE30-F-20S2</t>
  </si>
  <si>
    <t>1CE30-F-20S5</t>
  </si>
  <si>
    <t>1CE30-N-20S5</t>
  </si>
  <si>
    <t>1CE30-N-23S5</t>
  </si>
  <si>
    <t>1CE30-N-25S5</t>
  </si>
  <si>
    <t>1CE140-F-20S6</t>
  </si>
  <si>
    <t>1CE20-N-27S-3</t>
  </si>
  <si>
    <t>1CE300-F-35SV3</t>
  </si>
  <si>
    <t>1CE300-F-35SV8</t>
  </si>
  <si>
    <t>1CE30-F-35SV5</t>
  </si>
  <si>
    <t>1CE30-N-21S2.5</t>
  </si>
  <si>
    <t>1CE30-N-21S-5</t>
  </si>
  <si>
    <t>1CE30-N-23S-10</t>
  </si>
  <si>
    <t>1CE30-N-24.2S-5</t>
  </si>
  <si>
    <t>1CE30-N-25S2.5</t>
  </si>
  <si>
    <t>1CE30-N-27S-5</t>
  </si>
  <si>
    <t>1CE30-N-30S-5</t>
  </si>
  <si>
    <t>1CE30-N-7.5S-5</t>
  </si>
  <si>
    <t>1CE30-N-8S-5</t>
  </si>
  <si>
    <t>1CE90-F-20S4</t>
  </si>
  <si>
    <t>1CE90-F-20S8</t>
  </si>
  <si>
    <t>1CE90-F-20SV4</t>
  </si>
  <si>
    <t>1CEB120-P-35P3</t>
  </si>
  <si>
    <t>1CEB120-P-35SV3</t>
  </si>
  <si>
    <t>1CEB300-F-35SV3</t>
  </si>
  <si>
    <t>1CEB30-N-27S-5</t>
  </si>
  <si>
    <t>1CEB90-F-20S4</t>
  </si>
  <si>
    <t>1CEB90-F-35S-13</t>
  </si>
  <si>
    <t>1CEBD90-F-35S4</t>
  </si>
  <si>
    <t>1CEEC350-F10W-35SV3-377</t>
  </si>
  <si>
    <t>1CEEC95-F6W-20S4</t>
  </si>
  <si>
    <t>1CEL30-F-30S-250/100</t>
  </si>
  <si>
    <t>1CER140-F-40S4</t>
  </si>
  <si>
    <t>1CER90-F-20S4</t>
  </si>
  <si>
    <t>1SE90-F-35S6</t>
  </si>
  <si>
    <t>1SE90-N-27.5S4</t>
  </si>
  <si>
    <t>1SEL30-F-20S</t>
  </si>
  <si>
    <t xml:space="preserve">1SEL90G30S240/60-HA  </t>
  </si>
  <si>
    <t>1SER30-F-35S2</t>
  </si>
  <si>
    <t>1CE30-F-20SV5</t>
  </si>
  <si>
    <t>1CE30-F-20S10</t>
  </si>
  <si>
    <t>1CE30-F-35S5-SP3500</t>
  </si>
  <si>
    <t>1SE30-F-20S5</t>
  </si>
  <si>
    <t>1CE30-N-35S5</t>
  </si>
  <si>
    <t>1CE30-N-27S2</t>
  </si>
  <si>
    <t>1SE140-F-20S4</t>
  </si>
  <si>
    <t>1SE30-F-7S-10</t>
  </si>
  <si>
    <t>1SE30-N-NS10</t>
  </si>
  <si>
    <t>1SE90-F-20S4</t>
  </si>
  <si>
    <t>1SEL140-F-30S</t>
  </si>
  <si>
    <t>1SEL140-F-40S</t>
  </si>
  <si>
    <t>1SEL30-G-40S</t>
  </si>
  <si>
    <t>1SEL90-F-30S</t>
  </si>
  <si>
    <t>1SER90-F-35S6</t>
  </si>
  <si>
    <t>1CE140-F-40S4</t>
  </si>
  <si>
    <t>1CE140-F-40S6</t>
  </si>
  <si>
    <t>1CE30-F-20S2</t>
  </si>
  <si>
    <t>1CE30-F-20SV10</t>
  </si>
  <si>
    <t>1CE30-F-35S20-SP175BAR</t>
  </si>
  <si>
    <t>1CE30-F-35SV10</t>
  </si>
  <si>
    <t>1CE30-F-35SV2</t>
  </si>
  <si>
    <t>1CE30-G-35S5</t>
  </si>
  <si>
    <t>1CE30-N-13S-2</t>
  </si>
  <si>
    <t>1CE30-N-16S-5</t>
  </si>
  <si>
    <t>1CE30-N-18S-5</t>
  </si>
  <si>
    <t>1CE30-N-24.5S2</t>
  </si>
  <si>
    <t>1CE30-N-35S10</t>
  </si>
  <si>
    <t>1CE30-N-35S2</t>
  </si>
  <si>
    <t>1CE30-N-35SV10</t>
  </si>
  <si>
    <t>1CE30-N-5S2</t>
  </si>
  <si>
    <t>1CE90-F-20S3</t>
  </si>
  <si>
    <t>1CE90-F-20SV8</t>
  </si>
  <si>
    <t>1CE90-F-35S4-SP210BAR</t>
  </si>
  <si>
    <t>1CE90-G-20S4</t>
  </si>
  <si>
    <t>1CE90-N-20S3</t>
  </si>
  <si>
    <t>1CE90-N-27S-3</t>
  </si>
  <si>
    <t>1CEB120-P-335P8</t>
  </si>
  <si>
    <t>1CEB120-P-35SV8</t>
  </si>
  <si>
    <t>1CEB150-P6W-35S3-377</t>
  </si>
  <si>
    <t>1CEB30-F-15S-5</t>
  </si>
  <si>
    <t>1CEB30-F-17S-5</t>
  </si>
  <si>
    <t>1CEB30-F-35SV5</t>
  </si>
  <si>
    <t>1CEB30-N-14S-5</t>
  </si>
  <si>
    <t>1CEB30-N-18S-5</t>
  </si>
  <si>
    <t>1CEB30-N-20S-5</t>
  </si>
  <si>
    <t>1CEB30-N-21S-5</t>
  </si>
  <si>
    <t>1CEB30-N-25S-5</t>
  </si>
  <si>
    <t>1CEB30-N-25SV-2</t>
  </si>
  <si>
    <t>1CEB30-N-30S-5</t>
  </si>
  <si>
    <t>1CEB90-F-35SV4</t>
  </si>
  <si>
    <t>1CEBD120-F-335P3</t>
  </si>
  <si>
    <t>1CEBD120-F-35S3</t>
  </si>
  <si>
    <t>1CEBD120-F-35S8</t>
  </si>
  <si>
    <t>1CEBD120-F-35SV8</t>
  </si>
  <si>
    <t>1CEBD120-F-40P12</t>
  </si>
  <si>
    <t>1CEBD300-F-35S3</t>
  </si>
  <si>
    <t>1CEBD300-F-35SV3</t>
  </si>
  <si>
    <t>1CEBD30F35S5</t>
  </si>
  <si>
    <t>1CEBD90-F-20S4</t>
  </si>
  <si>
    <t>1CEBD90-F-20SV4</t>
  </si>
  <si>
    <t>1CEE34-F3W-35S5-377</t>
  </si>
  <si>
    <t>1CEECSH35-F3W-35S2</t>
  </si>
  <si>
    <t>1CEL140-F-30S</t>
  </si>
  <si>
    <t>1CER140-F-20S4</t>
  </si>
  <si>
    <t>1CER140-F-40S6</t>
  </si>
  <si>
    <t>1CER30-F-20S-4</t>
  </si>
  <si>
    <t>1CER30-F-35P-4</t>
  </si>
  <si>
    <t>1CER30-N-07S4</t>
  </si>
  <si>
    <t>1CER30-N-16S2</t>
  </si>
  <si>
    <t>1CER30N21S4 OVERCENTRE CART PART BA</t>
  </si>
  <si>
    <t>1CER30N30S2 OVERCENTER VALVE</t>
  </si>
  <si>
    <t>1CER30-N-35S4</t>
  </si>
  <si>
    <t>1CER90-F-35S-3</t>
  </si>
  <si>
    <t>1CER90-G-35S-4</t>
  </si>
  <si>
    <t>1CPB30-F-2S</t>
  </si>
  <si>
    <t>1CPBD120-F-2SV</t>
  </si>
  <si>
    <t>1CPBD30-F2SV</t>
  </si>
  <si>
    <t>1CE30F35S2-SP250 OVERCENTRE CART PILOT A</t>
  </si>
  <si>
    <t>1CE30N16S2 OVERCENTRE CART 2.5:1</t>
  </si>
  <si>
    <t>1CE30N24S10 OVERCENTRE CART NON-ADJ</t>
  </si>
  <si>
    <t>1CE90-F-35SV4</t>
  </si>
  <si>
    <t>1CE90-F-35SV8</t>
  </si>
  <si>
    <t>1CEV30F30S5 OVERCENTRE CARTRIDGE</t>
  </si>
  <si>
    <t>1CEV30F30S7 OVERCENTRE CARTRIDGE</t>
  </si>
  <si>
    <t>1CEV90F35S8 OVERCENTRE VALVE</t>
  </si>
  <si>
    <t>1CEL30-F-30P</t>
  </si>
  <si>
    <t>1CPBD120-F-P-22</t>
  </si>
  <si>
    <t>1CE20-N-21S3</t>
  </si>
  <si>
    <t>1CE30-N-30S-2</t>
  </si>
  <si>
    <t>1CE30-N-38S-10</t>
  </si>
  <si>
    <t>1CEL140-F-30S-240-70</t>
  </si>
  <si>
    <t xml:space="preserve">1CEL90F20S150/40  </t>
  </si>
  <si>
    <t>1SEL30-F-30S-220/50</t>
  </si>
  <si>
    <t>1CEBL356-F1-6-35P-SP11/290BAR</t>
  </si>
  <si>
    <t>1CEL90-F-30S-220/110</t>
  </si>
  <si>
    <t>1CEB90-F-20S-4-SP2000</t>
  </si>
  <si>
    <t>1CEL30-F-30S-240/40</t>
  </si>
  <si>
    <t>1CE36-F-3W-35S-5-SP</t>
  </si>
  <si>
    <t>1SEL90-F-30S-230/120</t>
  </si>
  <si>
    <t>1CBE35F3W35S5-SP350 BAR OVERCENTER VALVE</t>
  </si>
  <si>
    <t>1CE90-N-30S-3</t>
  </si>
  <si>
    <t>1SEL140-F-40S-300/50</t>
  </si>
  <si>
    <t>1CE90-N-20.7-S-4</t>
  </si>
  <si>
    <t>1CEB90-G-35-S4</t>
  </si>
  <si>
    <t>1CE30G35SV5 OVERCENTRE CART</t>
  </si>
  <si>
    <t>1CE90G35S8 OVERCENTRE CARTRIDGE</t>
  </si>
  <si>
    <t>1CEE95F4W20S8 DUAL OVERCENTRE HIC</t>
  </si>
  <si>
    <t xml:space="preserve">1CEL30F30S-250/30   XPR  </t>
  </si>
  <si>
    <t>1CE30-F-20S5-SP100BAR</t>
  </si>
  <si>
    <t>1CEBD120-F-35P-22-SP270BA</t>
  </si>
  <si>
    <t>1CER30-F-20S4-SP125BAR</t>
  </si>
  <si>
    <t>1CER30-F-20S4-SP165BAR</t>
  </si>
  <si>
    <t>1CER30-F-35S4-SP220BAR</t>
  </si>
  <si>
    <t>1CER30-F-35S4-SP265BAR</t>
  </si>
  <si>
    <t>1CE90-N-28S-4</t>
  </si>
  <si>
    <t>1CEB120-P-35S8-SP320BAR</t>
  </si>
  <si>
    <t>1CER30-F-35S4-SP320BAR</t>
  </si>
  <si>
    <t>1CE140-F-20SV4</t>
  </si>
  <si>
    <t>1CE90-N-16S-4</t>
  </si>
  <si>
    <t>1CER30-F-35S4-SP205BAR</t>
  </si>
  <si>
    <t>1CE30-F-35S5-SP320BAR</t>
  </si>
  <si>
    <t>1CPBD30-F-2S</t>
  </si>
  <si>
    <t>1CEB30-N-28SV-2</t>
  </si>
  <si>
    <t>1CER30-F-35S4-SP285BAR</t>
  </si>
  <si>
    <t>1CER30F35S4-SP300BAR</t>
  </si>
  <si>
    <t>1CER30F20S4-SP95BAR OVERCENTRE CARTRIDGE</t>
  </si>
  <si>
    <t>1CE30-F-35S5-SP175BAR</t>
  </si>
  <si>
    <t>1CEB120-P-35S3-SP180BAR</t>
  </si>
  <si>
    <t>1CE30N25S10 OVERCENTRE CARTRIDGE</t>
  </si>
  <si>
    <t>1CEB120-P-35P3-SP290BAR</t>
  </si>
  <si>
    <t>1CEE34-F3W-35S10-SP150BAR</t>
  </si>
  <si>
    <t>1CEB30-F-35S-5-B9U</t>
  </si>
  <si>
    <t>1CEL30-F-30S-220/50</t>
  </si>
  <si>
    <t>1CEL30-F-20S-150/20</t>
  </si>
  <si>
    <t>1CER90F35S4-SP350BAR OVERCENTRE CARTRIDGE</t>
  </si>
  <si>
    <t>1CEBD90-F-20S4-SP75BAR</t>
  </si>
  <si>
    <t>1CER30F35S4-SP130BAR OVERCENTRE VALVE</t>
  </si>
  <si>
    <t>1CE90-F-20S8-SP155BAR</t>
  </si>
  <si>
    <t>1CE95-F4W-20S8-SP155BAR</t>
  </si>
  <si>
    <t>1CER30F35S2-SP350BAR OVERCENTRE VALVE</t>
  </si>
  <si>
    <t>1CER30F35S2-SP275BAR OVERCENTRE VALVE</t>
  </si>
  <si>
    <t>1CEE34-F3W-20S10-377</t>
  </si>
  <si>
    <t>1CEL90-F-30S-230/100</t>
  </si>
  <si>
    <t>1CE30F35S2-SP180BAR OVERCENTRE CARTRIDGE</t>
  </si>
  <si>
    <t>1CE30-F-35S5-SP215BAR</t>
  </si>
  <si>
    <t>1CE30-F-35S2-SP215BAR</t>
  </si>
  <si>
    <t xml:space="preserve">1CER30F35S2-SP200BAR  </t>
  </si>
  <si>
    <t>1CEBD120-F-35P12-SP220BAR</t>
  </si>
  <si>
    <t>1CER30F35S4-SP280BAR OVERCENTRE CARTRIDGE</t>
  </si>
  <si>
    <t>1SE90-F-35S4-SP345BAR</t>
  </si>
  <si>
    <t>1CER30F35S4-SP200BAR OVERCENTRE CARTRIDGE</t>
  </si>
  <si>
    <t>1CER30F35S4-SP225BAR OVERCENTRE CARTRIDGE</t>
  </si>
  <si>
    <t>1CER30F35S4-SP275BAR OVERCENTRE CART</t>
  </si>
  <si>
    <t>1CE30F35S2-SP100BAR OVERCENTRE CARTRIDGE</t>
  </si>
  <si>
    <t>1CEL30F20S160/30 OVERCENTRE LET DOWN HIC</t>
  </si>
  <si>
    <t>1CE30G35S5-SP75BAR OVERCENTRE CARTRIDGE</t>
  </si>
  <si>
    <t>1CEL90F30S230/120 OVERCENTRE CARTRIDGE</t>
  </si>
  <si>
    <t>1SE30-F-10S-2-SP50BAR</t>
  </si>
  <si>
    <t>1CER90F20S4-SP180BAR OVERCENTRE VALVE 4:1</t>
  </si>
  <si>
    <t>1CE30F35S2-SP260BAR OVERCENTRE CARTRIDGE</t>
  </si>
  <si>
    <t>1CE20N24S3 OVERCENTRE CARTRIDGE</t>
  </si>
  <si>
    <t>1CPBD300F2S OVERCENTRE CARTRIDGE</t>
  </si>
  <si>
    <t>1CEE00HT35FA04WAB2014502014500S05</t>
  </si>
  <si>
    <t>1SER30-F-35S4</t>
  </si>
  <si>
    <t>1SEB90-F-PS5</t>
  </si>
  <si>
    <t>1CEBL91-F4W-35P</t>
  </si>
  <si>
    <t>1CE100P35S4 OVERCENTRE CARTRIDGE</t>
  </si>
  <si>
    <t>1CE100P35S8 OVERCENTRE CART PILOT A</t>
  </si>
  <si>
    <t>1SE90-F-35S3</t>
  </si>
  <si>
    <t>1SEB30-F-10S5</t>
  </si>
  <si>
    <t>1SER30-F-20S4</t>
  </si>
  <si>
    <t>1CE100P35SV4 OVERCENTRE CART PILOT A</t>
  </si>
  <si>
    <t>1CE100P35SV8 OVERCENTRE CART PILOT A</t>
  </si>
  <si>
    <t>1CE120-F-35SV3</t>
  </si>
  <si>
    <t>1CE20-F-20S3</t>
  </si>
  <si>
    <t>1CE20-F-20S8</t>
  </si>
  <si>
    <t>1CEB150-P6W-35S3</t>
  </si>
  <si>
    <t>1CEBL151-F6W-35P</t>
  </si>
  <si>
    <t>1CEBL153-F4W-35P</t>
  </si>
  <si>
    <t>1CEEC150-F8W-35S3-377</t>
  </si>
  <si>
    <t>1CEECSH350-F10W-35S3-377</t>
  </si>
  <si>
    <t>1CEESH150-F6W-35S-3-377</t>
  </si>
  <si>
    <t>1CE20-F-20S4</t>
  </si>
  <si>
    <t>1CE20F35S4-SP330BAR OVERCENTRE CARTRIDGE</t>
  </si>
  <si>
    <t>RV2-10-K-0-35/</t>
  </si>
  <si>
    <t>RV1-10-K-0-9/</t>
  </si>
  <si>
    <t>RV5-10-C-0-3/</t>
  </si>
  <si>
    <t>RV2-10-C-0-3/</t>
  </si>
  <si>
    <t>RV1 10 C 0 9</t>
  </si>
  <si>
    <t>RV2-10-C-0-20/</t>
  </si>
  <si>
    <t>RV10-10-C-0-5/</t>
  </si>
  <si>
    <t>RV10-10-S-0-5/</t>
  </si>
  <si>
    <t>PUV3-10-S-0-80-30</t>
  </si>
  <si>
    <t>RV5-3681</t>
  </si>
  <si>
    <t>RV2-10-K-0-20/</t>
  </si>
  <si>
    <t>RV5-10-K-0-20/</t>
  </si>
  <si>
    <t>RV2-10-F-0-35/19</t>
  </si>
  <si>
    <t>RV10-10-C-0-2/</t>
  </si>
  <si>
    <t>RV3-16V-S-0-50/</t>
  </si>
  <si>
    <t>RV8A-10-C-0-25/</t>
  </si>
  <si>
    <t>RV5-10V-S-0-35/</t>
  </si>
  <si>
    <t>RV3-10-S-0-36/14</t>
  </si>
  <si>
    <t>RV5-10V-C-0-50/</t>
  </si>
  <si>
    <t>RV1-10-S-0-36/33</t>
  </si>
  <si>
    <t>RV3A-10-S-0-36/27.5</t>
  </si>
  <si>
    <t>RV3-10-C-0-3/</t>
  </si>
  <si>
    <t>RV5-10-S-0-50/50</t>
  </si>
  <si>
    <t>RV1-10-F-0-18/7.5</t>
  </si>
  <si>
    <t>RV1-10-S-0-30/20</t>
  </si>
  <si>
    <t>RV3-10-K-0-3/</t>
  </si>
  <si>
    <t>RV5A-10-S-0-35/</t>
  </si>
  <si>
    <t>RV5-16V-S-0-60/</t>
  </si>
  <si>
    <t>RV5-16-S-0-60/50</t>
  </si>
  <si>
    <t>RV5-10V-S-0-50/</t>
  </si>
  <si>
    <t>RV5-10V-S-0-20/</t>
  </si>
  <si>
    <t>RV5-10-S-0-50/30</t>
  </si>
  <si>
    <t>RV5-10-S-0-20/12.5</t>
  </si>
  <si>
    <t>RV5-10-I-0-50/50</t>
  </si>
  <si>
    <t>RV5-10-C-0-20/</t>
  </si>
  <si>
    <t>RV3A-10-S-0-36/</t>
  </si>
  <si>
    <t>RV3-16V-S-0-35/</t>
  </si>
  <si>
    <t>RV3-16-S-0-35/30</t>
  </si>
  <si>
    <t>RV3-16-K-0-13/</t>
  </si>
  <si>
    <t>RV3-10V-S-0-9/</t>
  </si>
  <si>
    <t>RV3-10V-S-0-36/</t>
  </si>
  <si>
    <t>RV3-10V-S-0-3/</t>
  </si>
  <si>
    <t>RV3-10-S-0-36/26</t>
  </si>
  <si>
    <t>RV3-10-S-0-36/21</t>
  </si>
  <si>
    <t>RV3-10-S-0-10/10</t>
  </si>
  <si>
    <t>RV3-10-I-0-9/3</t>
  </si>
  <si>
    <t>RV3-10-I-0-36/25</t>
  </si>
  <si>
    <t>RV3-10-I-0-18/10</t>
  </si>
  <si>
    <t>RV3-10-F-0-36/10</t>
  </si>
  <si>
    <t>RV3-10-C-0-6/</t>
  </si>
  <si>
    <t>RV2-10V-S-0-35/</t>
  </si>
  <si>
    <t>RV2-10-S-0-35/10</t>
  </si>
  <si>
    <t>RV2-10-F-0-50/23.5</t>
  </si>
  <si>
    <t>RV1-10-I-0-9/5</t>
  </si>
  <si>
    <t>RV10-10-S-0-2/</t>
  </si>
  <si>
    <t>RV10-10-C-0-10/</t>
  </si>
  <si>
    <t>RV1-10V-S-0-9/</t>
  </si>
  <si>
    <t>RV1-10-S-0-30/17</t>
  </si>
  <si>
    <t>RV1-10-S-0-18/7.5</t>
  </si>
  <si>
    <t>RV5-16V-C-0-30/</t>
  </si>
  <si>
    <t>RV5-16-S-0-60/35</t>
  </si>
  <si>
    <t>RV5-16-C-0-30/26</t>
  </si>
  <si>
    <t>RV5-10V-C-0-35/</t>
  </si>
  <si>
    <t>RV5-10-C-0-50/35</t>
  </si>
  <si>
    <t>RV3-16V-S-0-13/</t>
  </si>
  <si>
    <t>RV3-10-S-0-36/21.5</t>
  </si>
  <si>
    <t>RV2-10-S-0-35/17.5</t>
  </si>
  <si>
    <t>RV11-12-S-0-50/</t>
  </si>
  <si>
    <t>RV11-12-S-0-30/</t>
  </si>
  <si>
    <t>RV11-12-S-0-15/</t>
  </si>
  <si>
    <t>RV11-12-C-0-15/</t>
  </si>
  <si>
    <t>RV10-10-K-0-5/</t>
  </si>
  <si>
    <t>RV10-10-K-0-2/</t>
  </si>
  <si>
    <t>RV1-10-I-0-30/21</t>
  </si>
  <si>
    <t>RV5A-10-S-0-50/25</t>
  </si>
  <si>
    <t>RV11-12-K-0-50/</t>
  </si>
  <si>
    <t>RV11-12-C-0-50/</t>
  </si>
  <si>
    <t>PUV3-10V-C-0-90-30/</t>
  </si>
  <si>
    <t>RV3-10V-S-0-36/20</t>
  </si>
  <si>
    <t>RV11-12-S-0-30/10</t>
  </si>
  <si>
    <t>RV5-10-I-0-20/4</t>
  </si>
  <si>
    <t>RV5-10V-C-0-20/</t>
  </si>
  <si>
    <t>RV1-10-S-0-30/27</t>
  </si>
  <si>
    <t>PUV3-10V-C-0-90-30/25</t>
  </si>
  <si>
    <t>RV11-12-C-0-30/</t>
  </si>
  <si>
    <t>RV1-8-S-0-36/</t>
  </si>
  <si>
    <t>RV8-8-S-0-15/</t>
  </si>
  <si>
    <t>RV8-8-S-0-50/</t>
  </si>
  <si>
    <t>RV8-8-S-0-30/</t>
  </si>
  <si>
    <t>RV8-10V-S050/</t>
  </si>
  <si>
    <t>RV8A-10-C-0-50/</t>
  </si>
  <si>
    <t>RV8-8-K-0-15/</t>
  </si>
  <si>
    <t>RV5-10V-K-0-20/</t>
  </si>
  <si>
    <t>RV8-10V-C-0-50/</t>
  </si>
  <si>
    <t>RV5-16-C-0-30/13</t>
  </si>
  <si>
    <t>RV8-8-C-0-30/</t>
  </si>
  <si>
    <t>RV8-8-C-0-15/</t>
  </si>
  <si>
    <t>RV8-10-K-0-50/</t>
  </si>
  <si>
    <t>RV8-10-K-0-4/</t>
  </si>
  <si>
    <t>RV1-10-S-0-30/13</t>
  </si>
  <si>
    <t>RGV-12-S-A6G-30/</t>
  </si>
  <si>
    <t>RV8-8-S-0-50/50</t>
  </si>
  <si>
    <t>SRV-12-0-S-A12T-30/-12DGS</t>
  </si>
  <si>
    <t>PUV3-5707</t>
  </si>
  <si>
    <t>CRV-16-S-A8G-35/</t>
  </si>
  <si>
    <t>PUV3-10V-S-0-85-30/</t>
  </si>
  <si>
    <t>RV10-10V-C-0-2/</t>
  </si>
  <si>
    <t>RV8-8-C-0-50/</t>
  </si>
  <si>
    <t>RV11-12-S-0-30/20</t>
  </si>
  <si>
    <t>RV8-8-K-0-50/</t>
  </si>
  <si>
    <t>RV5-16-S-0-50/</t>
  </si>
  <si>
    <t>PUV3-10-C-0-80-15/</t>
  </si>
  <si>
    <t>RV5-10-S-0-35/21.5</t>
  </si>
  <si>
    <t>RV10-10-S-0-2/0.8</t>
  </si>
  <si>
    <t>RV5A-10V-C-0-20/7</t>
  </si>
  <si>
    <t>RV3A-10-S-0-36/25</t>
  </si>
  <si>
    <t>RV3-16-C-0-35/</t>
  </si>
  <si>
    <t>RV2-10-C-0-35/25</t>
  </si>
  <si>
    <t>RV3-10-I-0-9/5.25</t>
  </si>
  <si>
    <t>RV3-10-I-0-9/4.35</t>
  </si>
  <si>
    <t>RV3-10-S-0-27/</t>
  </si>
  <si>
    <t>RV5-10-I-0-3/1.3</t>
  </si>
  <si>
    <t>RV1-10-S-0-36/26</t>
  </si>
  <si>
    <t>RV8A-10V-C-0-50/</t>
  </si>
  <si>
    <t>RV1-10-S-0-36/20</t>
  </si>
  <si>
    <t>RV1-10-S-0-36/30</t>
  </si>
  <si>
    <t>RV1-10-S-0-36/</t>
  </si>
  <si>
    <t>RV3-16-S-0-5/</t>
  </si>
  <si>
    <t>RV3-16-K-0-5/</t>
  </si>
  <si>
    <t>RV11-12-S-0-50/32.5</t>
  </si>
  <si>
    <t xml:space="preserve">RV5A-10V-S-0-35/  </t>
  </si>
  <si>
    <t>RV1-12-S-0-2.5/</t>
  </si>
  <si>
    <t>RV1-12-S-0-8.5/</t>
  </si>
  <si>
    <t>RV5-10-I-0-35/29</t>
  </si>
  <si>
    <t>RV5A-10V-I-0-20/10</t>
  </si>
  <si>
    <t>RV2-10V-C-0-35/25</t>
  </si>
  <si>
    <t>RV1-12-S-0-2.5/2.5</t>
  </si>
  <si>
    <t>RV2-10-I-0-35/26</t>
  </si>
  <si>
    <t>RV5-10-S-0-35/17</t>
  </si>
  <si>
    <t>RV3-10V-F-0-36/30</t>
  </si>
  <si>
    <t>RV1-10-I-0-36/</t>
  </si>
  <si>
    <t>RV3-10-F-0-36/28.3</t>
  </si>
  <si>
    <t>RV1-10V-C-0-36/</t>
  </si>
  <si>
    <t>RV1-10-C-0-36/</t>
  </si>
  <si>
    <t>RV5-10-F-0-20/4.3</t>
  </si>
  <si>
    <t>RV5-10V-F-0-35/25.5</t>
  </si>
  <si>
    <t>RV2-10-S-0-35/5</t>
  </si>
  <si>
    <t>1LLRC75-F6W-17S</t>
  </si>
  <si>
    <t>1GR30-P-7S</t>
  </si>
  <si>
    <t>1GR100-P-0.6S</t>
  </si>
  <si>
    <t>1GR100-P-4S</t>
  </si>
  <si>
    <t>1LR300F20S RELIEF VALVE (SING) DA D</t>
  </si>
  <si>
    <t>1LR300-F-35S</t>
  </si>
  <si>
    <t>1VR100-P-20S</t>
  </si>
  <si>
    <t>1VR100-P-35S</t>
  </si>
  <si>
    <t>1VR200-P-20S</t>
  </si>
  <si>
    <t>1VR200-P-35S</t>
  </si>
  <si>
    <t>1CLLR50-F-25S</t>
  </si>
  <si>
    <t>1CLLR100-F-35S</t>
  </si>
  <si>
    <t>1CLLR50-F-35S</t>
  </si>
  <si>
    <t>1DR2-P-20S</t>
  </si>
  <si>
    <t>1AR100-P-20S</t>
  </si>
  <si>
    <t>1AR100-P-20SV</t>
  </si>
  <si>
    <t>1AR100-P-40S</t>
  </si>
  <si>
    <t>1AR100-P-40SV</t>
  </si>
  <si>
    <t>1AR100-P-7S</t>
  </si>
  <si>
    <t>1AR100-P-7SV</t>
  </si>
  <si>
    <t>1AR100-R-20S</t>
  </si>
  <si>
    <t>1AR100-R-40S</t>
  </si>
  <si>
    <t>1ARC100-P-20S</t>
  </si>
  <si>
    <t>1ARC100-P-20SV</t>
  </si>
  <si>
    <t>1ARC100-P-40S</t>
  </si>
  <si>
    <t>1ARC100-P-40SV</t>
  </si>
  <si>
    <t>1ARC100-P-7S</t>
  </si>
  <si>
    <t>1DR2-P-10S</t>
  </si>
  <si>
    <t>1DR2-P-10SV</t>
  </si>
  <si>
    <t>1DR2-P-20SV</t>
  </si>
  <si>
    <t xml:space="preserve">1DR2P40P  </t>
  </si>
  <si>
    <t>1DR2-P-40S</t>
  </si>
  <si>
    <t>1DR2-P-40SV</t>
  </si>
  <si>
    <t>1DR2-R-10S</t>
  </si>
  <si>
    <t>1DR2-R-10SV</t>
  </si>
  <si>
    <t>1DR2-R-20S</t>
  </si>
  <si>
    <t>1DR2-R-20SV</t>
  </si>
  <si>
    <t>1DR30-G-40S</t>
  </si>
  <si>
    <t>1DR30-P-10S</t>
  </si>
  <si>
    <t>1DR30-P-20S</t>
  </si>
  <si>
    <t>1DR30-P-20SV</t>
  </si>
  <si>
    <t>1DR30-P-40S</t>
  </si>
  <si>
    <t>1DR30-P-40SV</t>
  </si>
  <si>
    <t>1DR30-R-20S</t>
  </si>
  <si>
    <t>1DR30-R-40S</t>
  </si>
  <si>
    <t>1GR100-P-2S</t>
  </si>
  <si>
    <t>1GR30-P-16S</t>
  </si>
  <si>
    <t>1GR30-P-16SV</t>
  </si>
  <si>
    <t>1GR30-R-16S</t>
  </si>
  <si>
    <t>1LR100F17SV RELIEF CARTRIDGE DIR ACT</t>
  </si>
  <si>
    <t>1LR100F28S RELIEF CARTRIDGE DIR ACT</t>
  </si>
  <si>
    <t>1LR100F28SV AXP9000 DIFFERENTIAL REL</t>
  </si>
  <si>
    <t>1LR100F35S          XPR DIFFERENTIAL REL</t>
  </si>
  <si>
    <t>1LR300F35P RELIEF CARTRIDGE</t>
  </si>
  <si>
    <t>1LR300F35SV RELIEF VALVE (SING) DA D</t>
  </si>
  <si>
    <t>1UAR100-P-20S</t>
  </si>
  <si>
    <t>1UAR100-P-35S</t>
  </si>
  <si>
    <t>1VR200-P-35SV</t>
  </si>
  <si>
    <t>1GR100-P-0.6SV</t>
  </si>
  <si>
    <t>1UAR100-P-35SV</t>
  </si>
  <si>
    <t>1AR100-G-20S</t>
  </si>
  <si>
    <t>1AR100-G-40S</t>
  </si>
  <si>
    <t>1AR100-R20S-18</t>
  </si>
  <si>
    <t>1AR100-R-40SV</t>
  </si>
  <si>
    <t>1ARC155-P8W-20S</t>
  </si>
  <si>
    <t>1CLLR100F20S OMP MOTOR MOUNTED LOCK V</t>
  </si>
  <si>
    <t>1CLLR100F35S-A7G CROSS-LINE RELIEF VALVE</t>
  </si>
  <si>
    <t>1CLLR100-F-35SV</t>
  </si>
  <si>
    <t>1CLLR100G20S RELIEF CARTRIDGE(DUAL)DA</t>
  </si>
  <si>
    <t>1DR2-G-20S</t>
  </si>
  <si>
    <t>1DR2-G-40S</t>
  </si>
  <si>
    <t>1DR30-G-10S</t>
  </si>
  <si>
    <t>1DR30-G-10SV</t>
  </si>
  <si>
    <t>1DR30-G-20S</t>
  </si>
  <si>
    <t>1DR30-P-10SV</t>
  </si>
  <si>
    <t>1DR30-R-20S-18</t>
  </si>
  <si>
    <t>1DR30-R-20SV</t>
  </si>
  <si>
    <t>1GR100-G-4S</t>
  </si>
  <si>
    <t>1GR100-P-2SV</t>
  </si>
  <si>
    <t>1GR100-P-4SV</t>
  </si>
  <si>
    <t>1GR100-R-0.6S</t>
  </si>
  <si>
    <t>1GR145G3W4SSP PRESSURE CONTROL HIC (DU</t>
  </si>
  <si>
    <t>1GR30-G-7S</t>
  </si>
  <si>
    <t>1GR30-P-7SV</t>
  </si>
  <si>
    <t>1LR100F42S RELIEF CARTRIDGE DIR ACT</t>
  </si>
  <si>
    <t>1LR100G28S RELIEF CARTRIDGE DIR ACT</t>
  </si>
  <si>
    <t>1LR100G28SV RELIEF CARTRIDGE DIR ACT</t>
  </si>
  <si>
    <t>1LR100G35S RELIEF CARTRIDGE DIR ACT</t>
  </si>
  <si>
    <t>1LR300F20SV RELIEF VALVE (SING) DA D</t>
  </si>
  <si>
    <t>1VR100-G-20S</t>
  </si>
  <si>
    <t>1VR100-G-35S</t>
  </si>
  <si>
    <t>1VR100-P-35SV</t>
  </si>
  <si>
    <t xml:space="preserve">7VR250P8W351H12S  </t>
  </si>
  <si>
    <t>7VR250P8W352H24S SOLENOID CARTRIDGE ASSEM</t>
  </si>
  <si>
    <t>1CLLR50F17S-B6F RELIEF CARTRIDGE(DUAL)DA</t>
  </si>
  <si>
    <t>1DR2R40SV RELIEF CARTRIDGE DIRECT</t>
  </si>
  <si>
    <t>1UAR100G7SV VENTABLE CARTRIDGE WITH</t>
  </si>
  <si>
    <t>7VR250P8W351H220S SOLENOID CARTRIDGE ASSEM</t>
  </si>
  <si>
    <t>1CLLR50F25SV RELIEF CARTRIDGE(DUAL)DA</t>
  </si>
  <si>
    <t>1VR100-P-35SV-SP242BAR</t>
  </si>
  <si>
    <t>1GR100-P-0.6SV-SP0.5BAR</t>
  </si>
  <si>
    <t>1GR150-P-4W-0.6SV-377</t>
  </si>
  <si>
    <t>1DDR35P3W10S CROSS LINE RELIEF HIC</t>
  </si>
  <si>
    <t>1ARD100N13S SHOCKLESS RELIEF VALVE</t>
  </si>
  <si>
    <t>1ARD100N15S SHOCKLESS RELIEF VALVE</t>
  </si>
  <si>
    <t>1ARD100N21S SHOCKLESS RELIEF VALVE</t>
  </si>
  <si>
    <t>1ARD100-N-10S</t>
  </si>
  <si>
    <t>1LR300-F-35S-SP228BAR</t>
  </si>
  <si>
    <t>1ARD100-N-13.5S</t>
  </si>
  <si>
    <t>1VR100P20S-SP206BAR</t>
  </si>
  <si>
    <t>1LR100-F-17SV-SP150BAR</t>
  </si>
  <si>
    <t>1LR300-F-20S-SP90BAR</t>
  </si>
  <si>
    <t>1LR100-F-35S-SP224BAR</t>
  </si>
  <si>
    <t>1CLLR100-F-20S-A7G</t>
  </si>
  <si>
    <t>1AR100-P-40S-SP155BAR</t>
  </si>
  <si>
    <t>1AR100-P-40S-SP165BAR</t>
  </si>
  <si>
    <t>1LR100F17S-SP60BAR</t>
  </si>
  <si>
    <t>7VR250P8W352H220S</t>
  </si>
  <si>
    <t>RV1-10-S-0-18/</t>
  </si>
  <si>
    <t>RV2-10-S-0-50/</t>
  </si>
  <si>
    <t>RV3-10-S-0-9/</t>
  </si>
  <si>
    <t>RV3-10-S-0-18/</t>
  </si>
  <si>
    <t>RV3-10-S-0-36/</t>
  </si>
  <si>
    <t>RV3-16-S-0-35/</t>
  </si>
  <si>
    <t>RV3-16-S-0-50/</t>
  </si>
  <si>
    <t>RV5-10-S-0-50/</t>
  </si>
  <si>
    <t>RV5-16-S-0-60/</t>
  </si>
  <si>
    <t>RV8-10-S-0-50/</t>
  </si>
  <si>
    <t>RV1-10-K-0-18/</t>
  </si>
  <si>
    <t>RV1-10-C-0-18/</t>
  </si>
  <si>
    <t>RV1-10-K-0-30/</t>
  </si>
  <si>
    <t>RV1-10-C-0-30/</t>
  </si>
  <si>
    <t>RV2-10-K-0-50/</t>
  </si>
  <si>
    <t>RV2-10-C-0-50/</t>
  </si>
  <si>
    <t>RV3-10-C-0-9/</t>
  </si>
  <si>
    <t>RV3-10-C-0-18/</t>
  </si>
  <si>
    <t>RV3-10-C-0-36/</t>
  </si>
  <si>
    <t>RV3-10-K-0-36/</t>
  </si>
  <si>
    <t>RV5-10-K-0-35/</t>
  </si>
  <si>
    <t>RV5-10-C-0-50/</t>
  </si>
  <si>
    <t>RV5-10-K-0-50/</t>
  </si>
  <si>
    <t>RV5-16-K-0-60/</t>
  </si>
  <si>
    <t>RV5-16-C-0-60/</t>
  </si>
  <si>
    <t>RV8-10-C-0-50/</t>
  </si>
  <si>
    <t>RV5-10-I-0-50/</t>
  </si>
  <si>
    <t>RV5-16-S-0-30/</t>
  </si>
  <si>
    <t>PUV3-10-S-0-85-30/</t>
  </si>
  <si>
    <t>RV1-10-I-0-30/</t>
  </si>
  <si>
    <t>RV2-10-I-0-50/</t>
  </si>
  <si>
    <t>RV3-10-I-0-9/</t>
  </si>
  <si>
    <t>RV1-10-S-0-9/</t>
  </si>
  <si>
    <t>RV3-10-I-0-36/</t>
  </si>
  <si>
    <t>RV8-10-K-0-25/</t>
  </si>
  <si>
    <t>RV8-10-S-0-25/</t>
  </si>
  <si>
    <t>RV8-10-S-0-4/</t>
  </si>
  <si>
    <t>RV3-16-S-0-13/</t>
  </si>
  <si>
    <t>RV8-10-S-0-12/</t>
  </si>
  <si>
    <t>RV2-10-S-0-35/</t>
  </si>
  <si>
    <t>RV5-10-S-0-35/</t>
  </si>
  <si>
    <t>RV1-10-I-0-18/</t>
  </si>
  <si>
    <t>RV1-10-K-0-3/</t>
  </si>
  <si>
    <t>PUV3-10-S-0-90-30/</t>
  </si>
  <si>
    <t>RV1-10-S-0-3/</t>
  </si>
  <si>
    <t>RV3-10-S-0-6/</t>
  </si>
  <si>
    <t>RV8-10-C-0-25/</t>
  </si>
  <si>
    <t>PUV3-10-C-0-90-30/</t>
  </si>
  <si>
    <t>RV2-10-C-0-35/</t>
  </si>
  <si>
    <t>RV1-10-C-0-3/</t>
  </si>
  <si>
    <t>RV5-10-C-0-35/</t>
  </si>
  <si>
    <t>RV5-16-K-0-30/</t>
  </si>
  <si>
    <t>PUV3-10-C-0-75-30/</t>
  </si>
  <si>
    <t>RV5-16-C-0-30/</t>
  </si>
  <si>
    <t>RV3-10-S-0-3/</t>
  </si>
  <si>
    <t>PUV3-10-C-0-80-30/</t>
  </si>
  <si>
    <t>PUV3-10-C-0-85-30/</t>
  </si>
  <si>
    <t>RV2-10-F-0-35/</t>
  </si>
  <si>
    <t>RV2-10-S-0-20/</t>
  </si>
  <si>
    <t>RV2-10-S-0-3/</t>
  </si>
  <si>
    <t>RV3-10-I-0-18/</t>
  </si>
  <si>
    <t>RV3-10-I-0-6/</t>
  </si>
  <si>
    <t>RV5-10-I-0-35/</t>
  </si>
  <si>
    <t>RV5-10-S-0-20/</t>
  </si>
  <si>
    <t>RV5-10-S-0-3/</t>
  </si>
  <si>
    <t>VRV11-12-S-0-30/</t>
  </si>
  <si>
    <t>VRV11-12-C-0-30/</t>
  </si>
  <si>
    <t>RV1-8-S-0-3/</t>
  </si>
  <si>
    <t>RV1-8-S-0-50/</t>
  </si>
  <si>
    <t>RV1-8-S-0-36/30</t>
  </si>
  <si>
    <t>RV1-8-C-0-50/</t>
  </si>
  <si>
    <t>RV1-8-C-0-36/</t>
  </si>
  <si>
    <t>RV1-8-S-0-36/36</t>
  </si>
  <si>
    <t>RV1-8-K-0-36/</t>
  </si>
  <si>
    <t>RV6-10-S-0-25/</t>
  </si>
  <si>
    <t>RV6-10-S-0-50/</t>
  </si>
  <si>
    <t>VRV11-12V-C-0-30/28</t>
  </si>
  <si>
    <t>VRV11-12-S-0-50/</t>
  </si>
  <si>
    <t>1GR60-P-2S</t>
  </si>
  <si>
    <t>1GR60-P-4S</t>
  </si>
  <si>
    <t>1AR60R35S RELIEF CARTRIDGE PILOT O</t>
  </si>
  <si>
    <t>1AR60P10S RELIEF VALVE PILOT OPERA</t>
  </si>
  <si>
    <t>1AR60P10SV RELIEF CARTRIDGE PILOT O</t>
  </si>
  <si>
    <t>1AR60P20S RELIEF CARTRIDGE PILOT O</t>
  </si>
  <si>
    <t>1AR60P35S RELIEF CARTRIDGE PILOT O</t>
  </si>
  <si>
    <t>1AR60R10S RELIEF CARTRIDGE PILOT O</t>
  </si>
  <si>
    <t>1AR60R20S RELIEF CARTRIDGE PILOT O</t>
  </si>
  <si>
    <t>1DR50P20S RELIEF CARTRIDGE</t>
  </si>
  <si>
    <t>1DR50-P-35S</t>
  </si>
  <si>
    <t>1AR60G10S RELIEF VALVE PILOT OPERA</t>
  </si>
  <si>
    <t>1AR60G20S RELIEF VALVE PILOT OPERA</t>
  </si>
  <si>
    <t>1AR60G35S RELIEF VALVE PILOT OPERA</t>
  </si>
  <si>
    <t>1DR50P7S RELIEF CARTRIDGE</t>
  </si>
  <si>
    <t>1AR60R10SV RELIEF CARTRIDGE PILOT O</t>
  </si>
  <si>
    <t>RV6-10-C-0-25/</t>
  </si>
  <si>
    <t>RV6-10-C-0-50/</t>
  </si>
  <si>
    <t xml:space="preserve">RV6-10V-C-0-25/  </t>
  </si>
  <si>
    <t>RV10-10-S-0-10/</t>
  </si>
  <si>
    <t>RGV-10-S-A4G-30/</t>
  </si>
  <si>
    <t>RV1-12-S-0-22/</t>
  </si>
  <si>
    <t>RV1-12-S-0-40/</t>
  </si>
  <si>
    <t>RV3-12-S-0-22/</t>
  </si>
  <si>
    <t>RV3-12-S-0-40/</t>
  </si>
  <si>
    <t>RV8-12-S-0-12/</t>
  </si>
  <si>
    <t>RV8-12-S-0-25/</t>
  </si>
  <si>
    <t>RV8-12-S-0-50/</t>
  </si>
  <si>
    <t>1DR2-R-40S</t>
  </si>
  <si>
    <t>1DR30-R-10S</t>
  </si>
  <si>
    <t>1DR30-R-10SV</t>
  </si>
  <si>
    <t>1DR30-R-40SV</t>
  </si>
  <si>
    <t>1LR100F17S RELIEF VALVE</t>
  </si>
  <si>
    <t>1AR155-R8W-40S</t>
  </si>
  <si>
    <t>1DR2R40S18 RELIEF CARTRIDGE DIRECT</t>
  </si>
  <si>
    <t>1DR30R40S18</t>
  </si>
  <si>
    <t>7VR150P6W201H24S SOLENOID CARTRIDGE ASSEM</t>
  </si>
  <si>
    <t>7VR150P6W351H24S SOLENOID CARTRIDGE ASSEM</t>
  </si>
  <si>
    <t>7VR150P6W352H24S SOLENOID CARTRIDGE ASSEM</t>
  </si>
  <si>
    <t>7VR250P8W351H24S SOLENOID CARTRIDGE ASSEM</t>
  </si>
  <si>
    <t>1VR150P6W35S VENTABLE RELIEF</t>
  </si>
  <si>
    <t>1LR100-F-17S-SP100BAR</t>
  </si>
  <si>
    <t>1LR100-F-17S-SP136BAR</t>
  </si>
  <si>
    <t>PSV4-10-S-0-9/</t>
  </si>
  <si>
    <t>PRV2-10-K-0-3/</t>
  </si>
  <si>
    <t>PRV1-10-S-0-4/</t>
  </si>
  <si>
    <t>PUV3-10-S-0-75-30/</t>
  </si>
  <si>
    <t>PRV2-10-C-0-20</t>
  </si>
  <si>
    <t>PRV2-10-C-0-35/</t>
  </si>
  <si>
    <t>PSV10-10-C-0-24/</t>
  </si>
  <si>
    <t>PRV1-10-C-0-2/</t>
  </si>
  <si>
    <t>PRV2-16-S-A-6G-30/</t>
  </si>
  <si>
    <t>PRV12-10-C-A3G-15/</t>
  </si>
  <si>
    <t>PSV11-12-C-0-15/</t>
  </si>
  <si>
    <t>PRV12-12-S-0-15/</t>
  </si>
  <si>
    <t>PSV7-10-C-0-10/</t>
  </si>
  <si>
    <t>PRV1-10V-S-0-6/</t>
  </si>
  <si>
    <t>PSV8-10-S-0-4/</t>
  </si>
  <si>
    <t>PSV2-10-S-0-6/</t>
  </si>
  <si>
    <t>PSV10-10-C-0-6/</t>
  </si>
  <si>
    <t>PSV1-10-C-0-6/</t>
  </si>
  <si>
    <t>PRV2-10V-S-0-35/</t>
  </si>
  <si>
    <t>PRV2-10V-S-0-3/</t>
  </si>
  <si>
    <t>PRV2-10V-S-0-20/</t>
  </si>
  <si>
    <t>PRV2-10-S-0-35/20</t>
  </si>
  <si>
    <t>PRV2-10-S-0-20/12</t>
  </si>
  <si>
    <t>PRV2-10-C-0-35/25</t>
  </si>
  <si>
    <t>PRV1-10-K-0-2/</t>
  </si>
  <si>
    <t>PSV10-10-I-0-2/</t>
  </si>
  <si>
    <t>PRV11-12-S-0-30/</t>
  </si>
  <si>
    <t>PRV12-12-K-0-30/</t>
  </si>
  <si>
    <t>PSV4-10-S-0-5/</t>
  </si>
  <si>
    <t>PSV11-12-S-0-50/</t>
  </si>
  <si>
    <t>PSV11-12-S-0-30/</t>
  </si>
  <si>
    <t>PSV11-12-S-0-15/</t>
  </si>
  <si>
    <t>PRV2-10-S-0-35/25</t>
  </si>
  <si>
    <t>PRV2-10-S-0-20/14.25</t>
  </si>
  <si>
    <t>PRV2-10-S-0-20/10</t>
  </si>
  <si>
    <t>PRV2-10-C-0-20/6</t>
  </si>
  <si>
    <t>PRV12-12-S-0-50/</t>
  </si>
  <si>
    <t>PRV12-12-S-0-30/</t>
  </si>
  <si>
    <t>PRV1-10-S-8T-2/</t>
  </si>
  <si>
    <t>PRV12-12-C-0-50/</t>
  </si>
  <si>
    <t>PSV10-10-C-0-24/24</t>
  </si>
  <si>
    <t>PRV2-10V-S-0-50/</t>
  </si>
  <si>
    <t>PRV12-12-C-0-15/</t>
  </si>
  <si>
    <t>PSV2-8-S-0-13/</t>
  </si>
  <si>
    <t>PSV2-8-S-0-30/</t>
  </si>
  <si>
    <t>PSV4-8-S-0-30/</t>
  </si>
  <si>
    <t>PSV4-8-S-0-50/</t>
  </si>
  <si>
    <t>PSV7-10-K-0-3/</t>
  </si>
  <si>
    <t>PSV8-10-C-0-24/</t>
  </si>
  <si>
    <t>PRV12-10-S-0-15/</t>
  </si>
  <si>
    <t>PRV12-10-C-0-30/</t>
  </si>
  <si>
    <t>PRV12-10-C-0-15/</t>
  </si>
  <si>
    <t>PRV12-10-S-0-30/</t>
  </si>
  <si>
    <t>PRV12-10-S-0-50/</t>
  </si>
  <si>
    <t>PRV1-10V-C-0-24/</t>
  </si>
  <si>
    <t>PRV2-10-K-0-20/</t>
  </si>
  <si>
    <t>PRV1-10-C-0-24/</t>
  </si>
  <si>
    <t>PRV1-10V-I-0-2/</t>
  </si>
  <si>
    <t>PRV12-10-K-0-50/</t>
  </si>
  <si>
    <t>PRV1-10-F-6T-2/1</t>
  </si>
  <si>
    <t>PRV2-10-S-3G-35/</t>
  </si>
  <si>
    <t>PRV1-10-I-6T-6/4.5</t>
  </si>
  <si>
    <t>PRV12-10-S-0-30/24</t>
  </si>
  <si>
    <t>PSV5-10-C-0-28/</t>
  </si>
  <si>
    <t>PRV12-10-K-0-30/</t>
  </si>
  <si>
    <t>PRV1-10V-K-0-6/</t>
  </si>
  <si>
    <t>PSV4-10-C-0-28/</t>
  </si>
  <si>
    <t>PSV11-12-K-0-50/</t>
  </si>
  <si>
    <t>PSV10-10V-S-0-6/</t>
  </si>
  <si>
    <t>PRV12-10V-C-0-30/</t>
  </si>
  <si>
    <t>PRV12-10-S-0-50/43.5</t>
  </si>
  <si>
    <t>PSV5-10-C-0-5</t>
  </si>
  <si>
    <t>1DS100P2S AXP8176 SEQUENCE CARTRID</t>
  </si>
  <si>
    <t>1DS100P4S SEQUENCE CARTRIDGE DIR</t>
  </si>
  <si>
    <t>1DS100P4SV SEQUENCE CARTRIDGE DIR</t>
  </si>
  <si>
    <t>1DS30P14S SEQUENCE CARTRIDGE DIR</t>
  </si>
  <si>
    <t>1DS30P7S GUIDED PIS REFLIEF VALVE</t>
  </si>
  <si>
    <t>1DS60P2S SEQUENCE VALVE WITH CHEC</t>
  </si>
  <si>
    <t>1DS60P4S SEQUENCE CARTRIDGE DIR</t>
  </si>
  <si>
    <t>1PS100-P-20S</t>
  </si>
  <si>
    <t>1PS100P20SV SEQUENCE CARTRIDGE PILOT</t>
  </si>
  <si>
    <t>1PS100P35S          XPR SEQUENCE CARTRIDGE PILOT</t>
  </si>
  <si>
    <t>1PS60P20S SEQUENCE CARTRIDGE PILOT</t>
  </si>
  <si>
    <t>1PS60P35S SEQUENCE CARTRIDGE PILOT</t>
  </si>
  <si>
    <t>1PS60R35S SEQUENCE CARTRIDGE PILOT</t>
  </si>
  <si>
    <t>1PSC100-P-20S</t>
  </si>
  <si>
    <t>1PSC100P35S SEQU CART REV FLOW PO</t>
  </si>
  <si>
    <t>1PSC30F10S           XPRSEQUENCE VALVE  REV FLO</t>
  </si>
  <si>
    <t>1PSC30F35S          XPR SEQUENCE CARTRIDGE</t>
  </si>
  <si>
    <t>1PSC100-P-7S</t>
  </si>
  <si>
    <t>1DS100G2S GUIDED PISTON REL CART.</t>
  </si>
  <si>
    <t>1DS60R4S SEQUENCE VALVE</t>
  </si>
  <si>
    <t>1PS100P5S SEQUENCE CARTRIDGE PILOT</t>
  </si>
  <si>
    <t>1PS100P7SV P.O. SEQUENCE VALVE</t>
  </si>
  <si>
    <t>1PS100R7S SEQUENCE CARTRIDGE</t>
  </si>
  <si>
    <t>1PS60P10S SEQUENCE CARTRIDGE PILOT</t>
  </si>
  <si>
    <t>1PSC100-P-20SV</t>
  </si>
  <si>
    <t>1PSC30F20SV SEQUENCE CARTRIDGE</t>
  </si>
  <si>
    <t>1PSC30F35P SEQUENCE CARTRIDGE</t>
  </si>
  <si>
    <t>1PUL200-G-20S</t>
  </si>
  <si>
    <t>1PUL60-G-20S</t>
  </si>
  <si>
    <t>1PUL60-P-20SV</t>
  </si>
  <si>
    <t>1PUL65-P4W-20S-377</t>
  </si>
  <si>
    <t>1PSC30-F-20S</t>
  </si>
  <si>
    <t>1UPS100-P-20S</t>
  </si>
  <si>
    <t>1UL60-P-20S</t>
  </si>
  <si>
    <t>1UL60-P-35S</t>
  </si>
  <si>
    <t>1PUL60-P-20S</t>
  </si>
  <si>
    <t>1PUL60-P-35S</t>
  </si>
  <si>
    <t>1PUL200-P-20S</t>
  </si>
  <si>
    <t>1PUL200-P-35S</t>
  </si>
  <si>
    <t>1UL60-P-10S</t>
  </si>
  <si>
    <t>1UL60-P-20SV</t>
  </si>
  <si>
    <t>1UPS100-P-20SV</t>
  </si>
  <si>
    <t>1PA100-P-20S</t>
  </si>
  <si>
    <t>1PA100-P-35S</t>
  </si>
  <si>
    <t>1PA100-P-7S</t>
  </si>
  <si>
    <t>1PA100-R-20SV</t>
  </si>
  <si>
    <t>1PA100R35S18 PRESSURE REDUCING VALVE</t>
  </si>
  <si>
    <t>1PA100-R-20S</t>
  </si>
  <si>
    <t>1PUL200P20SJL COMPOUND FLOW HIC</t>
  </si>
  <si>
    <t>1PUL60-P-10S</t>
  </si>
  <si>
    <t>1PS100-P-7S</t>
  </si>
  <si>
    <t>1PA100-P-7SV</t>
  </si>
  <si>
    <t>1PA100-R-20S-18</t>
  </si>
  <si>
    <t>1PA100-R-7S</t>
  </si>
  <si>
    <t>1PA60P20S-SP50BAR PRESSURE REDUCING CART</t>
  </si>
  <si>
    <t>1UL60-G-35S</t>
  </si>
  <si>
    <t>1UL60-P-10SV</t>
  </si>
  <si>
    <t>1UL60-P-35SV</t>
  </si>
  <si>
    <t>7VR150P6W201H12S SOLENOID CARTRIDGE ASSEM</t>
  </si>
  <si>
    <t>1PSC100-G-35SV</t>
  </si>
  <si>
    <t>1UL60-P-20SV-SP110BAR</t>
  </si>
  <si>
    <t>1PS100-P-5SV</t>
  </si>
  <si>
    <t>1CLLR55-F3W-25S-SP200BAR</t>
  </si>
  <si>
    <t>1PS100-P-7S-SP300</t>
  </si>
  <si>
    <t>1HP7S SINGLE PRESSURE CONTROL</t>
  </si>
  <si>
    <t>1HP7SV SINGLE PRESSURE CONTROL</t>
  </si>
  <si>
    <t>PRV1-10-S-0-6/</t>
  </si>
  <si>
    <t>PRV1-10-S-0-12/</t>
  </si>
  <si>
    <t>PSV1-10-S-0-24/</t>
  </si>
  <si>
    <t>PSV2-10-S-0-12/</t>
  </si>
  <si>
    <t>PSV2-10-S-0-24/</t>
  </si>
  <si>
    <t>PRV1-10-C-0-6/</t>
  </si>
  <si>
    <t>PRV1-10-K-0-6/</t>
  </si>
  <si>
    <t>PRV1-10-C-0-12/</t>
  </si>
  <si>
    <t>PRV1-10-K-0-12/</t>
  </si>
  <si>
    <t>PSV2-10-C-0-12/</t>
  </si>
  <si>
    <t>PSV2-10-C-0-24/</t>
  </si>
  <si>
    <t>PRV2-16-S-0-30/</t>
  </si>
  <si>
    <t>PRV2-16-C-0-30/</t>
  </si>
  <si>
    <t>PRV1-10-S-0-2/</t>
  </si>
  <si>
    <t>PRV1-10-S-0-24/</t>
  </si>
  <si>
    <t>PRV2-10-S-0-50/</t>
  </si>
  <si>
    <t>PSV1-16-S-0-30/</t>
  </si>
  <si>
    <t>PSV5-10-S-0-56/</t>
  </si>
  <si>
    <t>PSV1-10-S-0-6/</t>
  </si>
  <si>
    <t>PSV8-10-S-0-24/</t>
  </si>
  <si>
    <t>PSV10-10-S-0-24/</t>
  </si>
  <si>
    <t>PRV2-10-C-0-3/</t>
  </si>
  <si>
    <t>PRV1-10-K-0-24/</t>
  </si>
  <si>
    <t>PRV2-10-S-0-3/</t>
  </si>
  <si>
    <t>PRV2-16-C-0-60/</t>
  </si>
  <si>
    <t>PRV2-10-K-0-50/</t>
  </si>
  <si>
    <t>PRV2-10-S-0-20/</t>
  </si>
  <si>
    <t>PRV2-10-C-0-50/</t>
  </si>
  <si>
    <t>PSV1-10-S-0-12/</t>
  </si>
  <si>
    <t>PRV2-10-S-0-35/</t>
  </si>
  <si>
    <t>PRV2-16-S-0-60/</t>
  </si>
  <si>
    <t>PRV1-10-I-0-6/</t>
  </si>
  <si>
    <t xml:space="preserve">PSV7-10-S-0-5/  </t>
  </si>
  <si>
    <t>PSV1-10-I-0-24/</t>
  </si>
  <si>
    <t>PSV8-10-S-0-12/</t>
  </si>
  <si>
    <t xml:space="preserve">PRV210NSA310A35200000A  </t>
  </si>
  <si>
    <t xml:space="preserve">PRV210NSA310B35200000A  </t>
  </si>
  <si>
    <t>ADV1-16-0-100</t>
  </si>
  <si>
    <t>PRV2-10-I-0-20/</t>
  </si>
  <si>
    <t>PRV2-10-I-0-3/</t>
  </si>
  <si>
    <t>PRV2-10-K-0-35/</t>
  </si>
  <si>
    <t>PSV4-10-S-0-28/</t>
  </si>
  <si>
    <t>PSV4-10-S-0-56/</t>
  </si>
  <si>
    <t>PSV5-10-S-0-5/</t>
  </si>
  <si>
    <t>PTS2-16-0-80</t>
  </si>
  <si>
    <t>PRV11-12-S-0-15/</t>
  </si>
  <si>
    <t>PRV11-12-C-0-15/</t>
  </si>
  <si>
    <t>PRV11-12-K-0-30/</t>
  </si>
  <si>
    <t>PRV11-12-C-0-30/</t>
  </si>
  <si>
    <t>1PS200P20S SEQUENCE CARTRIDGE PILOT</t>
  </si>
  <si>
    <t>1PS200P20SV SEQUENCE CARTRIDGE</t>
  </si>
  <si>
    <t>1PS200P35S SEQUENCE CARTRIDGE PILOT</t>
  </si>
  <si>
    <t>1PS200P10S SEQUENCE CARTRIDGE PILOT</t>
  </si>
  <si>
    <t>1PS200P2S SEQUENCE CARTRIDGE PILOT</t>
  </si>
  <si>
    <t>1PS200P35SV SEQUENCE CARTRIDGE PILOT</t>
  </si>
  <si>
    <t>1PA200-P-20S</t>
  </si>
  <si>
    <t>1PA200-P-35S</t>
  </si>
  <si>
    <t>1PA60P20S PRESS REDUCING CART PILO</t>
  </si>
  <si>
    <t>1PA60R35S PRESS REDUCING CART PILO</t>
  </si>
  <si>
    <t>1PA200-P-35SV</t>
  </si>
  <si>
    <t>1PA60P10S PRESS REDUCING VALVE</t>
  </si>
  <si>
    <t>1PA60P35S PRESS REDUCING CART PILO</t>
  </si>
  <si>
    <t>1PAA60P10S PRESS REDUCING VALVE PIL</t>
  </si>
  <si>
    <t>1PAA60P20S PRESS REDUCING VALVE PIL</t>
  </si>
  <si>
    <t>1PD50P12S PRESS RED VALVE +REL DIR</t>
  </si>
  <si>
    <t>1PD50P6S PRESS RED VALVE +REL DIR</t>
  </si>
  <si>
    <t>1PD20C12S PRESS RED CART. +REL DIR</t>
  </si>
  <si>
    <t>1PD20G6S PRESS RED CART. +REL DIR</t>
  </si>
  <si>
    <t>1PD20P12S PRESSURE REDUCING CARTRI</t>
  </si>
  <si>
    <t>1PD20P2S PRESS RED CART +REL DIR</t>
  </si>
  <si>
    <t>1PD20P6S PRESSURE RED CARTRIDGE</t>
  </si>
  <si>
    <t>1PD20P6SV PRESS RED CART +REL DIR</t>
  </si>
  <si>
    <t>1PD20R12S PRESS RED CART +REL DIR</t>
  </si>
  <si>
    <t>1PD20R2S PRESS RED CART +REL DIR</t>
  </si>
  <si>
    <t>1PD20R6S PRESS RED CART +REL DIR</t>
  </si>
  <si>
    <t>1PA60R10S PRESS REDUCING CART PILO</t>
  </si>
  <si>
    <t>1PA60R20S PRESS REDUCING CART PILO</t>
  </si>
  <si>
    <t>1PD20P2SV AXP5528 PRESSURE REDUCIN</t>
  </si>
  <si>
    <t>1PD20P3S AXP5528 PRESSURE REDUCIN</t>
  </si>
  <si>
    <t>1PD20R3S18 PRESS RED CART +REL DIR</t>
  </si>
  <si>
    <t xml:space="preserve">1PD50P12SV  </t>
  </si>
  <si>
    <t xml:space="preserve">1PD50P6SV  </t>
  </si>
  <si>
    <t xml:space="preserve">1PD25P3W2S  </t>
  </si>
  <si>
    <t>1PA200-R-35SV</t>
  </si>
  <si>
    <t>1PA200-P-35S-SP320BAR</t>
  </si>
  <si>
    <t>1PAA95P4W10S PRESS REDUCING CART PILO</t>
  </si>
  <si>
    <t>1PS60-G-35S</t>
  </si>
  <si>
    <t>FDC1-16-0-88</t>
  </si>
  <si>
    <t>FR2-10-S-0-3.00</t>
  </si>
  <si>
    <t>PFR2-10-C-0-/3.5</t>
  </si>
  <si>
    <t>PFR2-10-C-0-/2.5</t>
  </si>
  <si>
    <t>PFR2-10-C-0-/1.50</t>
  </si>
  <si>
    <t>FCV7-10-C-0-NV</t>
  </si>
  <si>
    <t>FCV7-10-S-0-20</t>
  </si>
  <si>
    <t>FCV7-10-K-0-NVF</t>
  </si>
  <si>
    <t>FCV7-10-C-0-NVF</t>
  </si>
  <si>
    <t>FCV7-10-S-0-NV</t>
  </si>
  <si>
    <t>FCV7-10-K-0-NV</t>
  </si>
  <si>
    <t>FCV7-10-S-0-FF</t>
  </si>
  <si>
    <t>FCV7-10-K-0-FF</t>
  </si>
  <si>
    <t>FCV7-10-C-0-FF</t>
  </si>
  <si>
    <t>MRV2-10-0-0-10</t>
  </si>
  <si>
    <t>FCV7-10-S-0-NVF</t>
  </si>
  <si>
    <t>FDC1-16-12T-88</t>
  </si>
  <si>
    <t>FCV7-10-S-0-40</t>
  </si>
  <si>
    <t>FDC1-16-0-55</t>
  </si>
  <si>
    <t>PCS4-10-0-160</t>
  </si>
  <si>
    <t>PFR2-10-K-0-/9.50</t>
  </si>
  <si>
    <t>FCV7-10-C-0-40</t>
  </si>
  <si>
    <t>FCV7-10-K-0-40</t>
  </si>
  <si>
    <t>FCV11-12-S-0-NV</t>
  </si>
  <si>
    <t>FCV6-16V-C-0-NV</t>
  </si>
  <si>
    <t>FCV7-10-S-0-10</t>
  </si>
  <si>
    <t>FCV6-16V-S-0-NV</t>
  </si>
  <si>
    <t>FCV7-10V-S-0-NV</t>
  </si>
  <si>
    <t>FCV7-10V-C-0-NVF</t>
  </si>
  <si>
    <t>FCV7-10-C-0-20</t>
  </si>
  <si>
    <t>FCV7-10-C-0-10</t>
  </si>
  <si>
    <t>NV1-10-K-6T</t>
  </si>
  <si>
    <t>NV1-10V-K-0</t>
  </si>
  <si>
    <t>NV1-10BV-K-0</t>
  </si>
  <si>
    <t>PFR2-10-S-0-/9.00</t>
  </si>
  <si>
    <t>FR2-16-S-0-/26.00</t>
  </si>
  <si>
    <t>FR1-20-F-0-/30.00</t>
  </si>
  <si>
    <t>FR2-10V-S-0-/5.00</t>
  </si>
  <si>
    <t>FR2-10-K-0-/4.00</t>
  </si>
  <si>
    <t>FR2-10-S-0-/5.50</t>
  </si>
  <si>
    <t>FR2-10-K-0-/0.50</t>
  </si>
  <si>
    <t>PCS3-10-0-S-40</t>
  </si>
  <si>
    <t>PCS3-16-0-40</t>
  </si>
  <si>
    <t>FR1-16-F-0-/17.00</t>
  </si>
  <si>
    <t>FCV7-10V-C-0-10</t>
  </si>
  <si>
    <t>MRV2-16-D-0-25</t>
  </si>
  <si>
    <t>NV1-8-S-0</t>
  </si>
  <si>
    <t>NV1-8-K-0</t>
  </si>
  <si>
    <t>PFR5-8-F-0-0.10</t>
  </si>
  <si>
    <t>FR5-8-F-0-0.25</t>
  </si>
  <si>
    <t>NV1-8-C-0</t>
  </si>
  <si>
    <t>FAR1-10-S-0-10</t>
  </si>
  <si>
    <t>FR5-8-F-0-2.0</t>
  </si>
  <si>
    <t>FR1-16-F-0-/26.50</t>
  </si>
  <si>
    <t>MRV4-10-E2-0</t>
  </si>
  <si>
    <t>FR2-10V-S-0-/0.50</t>
  </si>
  <si>
    <t>PFR2-10-S-0-/1.00</t>
  </si>
  <si>
    <t>PFR2-10-S-0-/1.60</t>
  </si>
  <si>
    <t>FAR1-12-S-0-10</t>
  </si>
  <si>
    <t>FAR1-10-K-0-10</t>
  </si>
  <si>
    <t>FAR1-16-S-0-30</t>
  </si>
  <si>
    <t>FAR1-10-S-0</t>
  </si>
  <si>
    <t>FAR1-10-K-0</t>
  </si>
  <si>
    <t>FAR1-12-K-0</t>
  </si>
  <si>
    <t>FAR1-12-S-0</t>
  </si>
  <si>
    <t>FAR1-12-H-0</t>
  </si>
  <si>
    <t>FAR1-10-S-0-2.5</t>
  </si>
  <si>
    <t>FAR1-16-S-0</t>
  </si>
  <si>
    <t>MPV3-10-K-0</t>
  </si>
  <si>
    <t>FAR1-16-K-0</t>
  </si>
  <si>
    <t>PFRD-12-U-0-000-145-00</t>
  </si>
  <si>
    <t>PFRS-12-U-0-000-100-00</t>
  </si>
  <si>
    <t>PFRS-16-U-0-000-130-00</t>
  </si>
  <si>
    <t>PFRS-16-U-0-000-160-00</t>
  </si>
  <si>
    <t>PFRD-12-U-0-000-110-00</t>
  </si>
  <si>
    <t>FDC11-16-0-66</t>
  </si>
  <si>
    <t xml:space="preserve">PCS4-12-0-120       XPR  </t>
  </si>
  <si>
    <t>FDC11-16-0-46</t>
  </si>
  <si>
    <t xml:space="preserve">FAR1-16-H-0  </t>
  </si>
  <si>
    <t>FR5-10-F-0-2.60</t>
  </si>
  <si>
    <t>PFR2-10-K-0-7.50-06</t>
  </si>
  <si>
    <t>PFRS-12-U-A4G-78</t>
  </si>
  <si>
    <t>NV1-8-K-0-20</t>
  </si>
  <si>
    <t>FR1-16-F-0-19</t>
  </si>
  <si>
    <t>PFRD-16-U-0-280-26</t>
  </si>
  <si>
    <t>FR5-8-F-0-1.32</t>
  </si>
  <si>
    <t>2FPH95-P6W-95S-H24</t>
  </si>
  <si>
    <t>2CFP60-R-6S</t>
  </si>
  <si>
    <t>2CFD200-150S</t>
  </si>
  <si>
    <t>2CFD200-150SV</t>
  </si>
  <si>
    <t>2CFD200-220S</t>
  </si>
  <si>
    <t>2CFD200-95S</t>
  </si>
  <si>
    <t>2CFD50-10S</t>
  </si>
  <si>
    <t>2CFD50-20S</t>
  </si>
  <si>
    <t>2CFD50-20SV</t>
  </si>
  <si>
    <t>2CFD50-40S</t>
  </si>
  <si>
    <t>2CFD50-5S</t>
  </si>
  <si>
    <t>2CFP60-P-4S</t>
  </si>
  <si>
    <t>2CFRC60-G-6SV</t>
  </si>
  <si>
    <t>2CFRC60-P-4S</t>
  </si>
  <si>
    <t>2CFRC60-P-6S</t>
  </si>
  <si>
    <t>2CFRC60-R-6S</t>
  </si>
  <si>
    <t>2CR80-P-S</t>
  </si>
  <si>
    <t>2FB95-L6W-95S</t>
  </si>
  <si>
    <t>2FBAR195-P8W-195S</t>
  </si>
  <si>
    <t>2FP95-P6W-95S</t>
  </si>
  <si>
    <t>2FP95-P6W-95S-377</t>
  </si>
  <si>
    <t>2FPH55-P4W-55S-H12</t>
  </si>
  <si>
    <t>2FR195P8W195S FLOW REGULATOR PRIORITY</t>
  </si>
  <si>
    <t>2FR25P3W25S FLOW REGULATOR PRIORITY</t>
  </si>
  <si>
    <t>2FR195P8W195S377 FLOW REGULATOR PRIORITY</t>
  </si>
  <si>
    <t>2CFP60-R-6S-18</t>
  </si>
  <si>
    <t>2CFP60-P-6S</t>
  </si>
  <si>
    <t>2FB95-D6W-95S</t>
  </si>
  <si>
    <t>2CFD200-95SV</t>
  </si>
  <si>
    <t>2CFP60-G-4S</t>
  </si>
  <si>
    <t>2CFP60-P-4SV</t>
  </si>
  <si>
    <t>2CFP65-P4W-6S</t>
  </si>
  <si>
    <t>2CFRC60-P-6SV</t>
  </si>
  <si>
    <t>2CFRC60-R-4S</t>
  </si>
  <si>
    <t>2CFRC60-R-4SV</t>
  </si>
  <si>
    <t>2CR80-R-S</t>
  </si>
  <si>
    <t>2FB195-P8W-195S</t>
  </si>
  <si>
    <t>2FB195-P8W-195S-377</t>
  </si>
  <si>
    <t>2FB195-R8W-195S</t>
  </si>
  <si>
    <t>2FB25-P3W-25S</t>
  </si>
  <si>
    <t>2FB55-P4W-55S</t>
  </si>
  <si>
    <t>2FB55-R4W-55S</t>
  </si>
  <si>
    <t>2FB95-G6W-95S</t>
  </si>
  <si>
    <t>2FB95-L6W-95S-377</t>
  </si>
  <si>
    <t>2FB95-P6W-95S</t>
  </si>
  <si>
    <t>2FB95-R6W-95S</t>
  </si>
  <si>
    <t>2FBAR195-P8W-195S-377</t>
  </si>
  <si>
    <t>2FBAR95-P6W-95S</t>
  </si>
  <si>
    <t>2FP195-P8W-195S</t>
  </si>
  <si>
    <t>2FP25-P3W-25S</t>
  </si>
  <si>
    <t>2FP55-P4W-55S</t>
  </si>
  <si>
    <t>2FP55-P4W-55S-377</t>
  </si>
  <si>
    <t>2FP55-R4W-55S</t>
  </si>
  <si>
    <t>2FP95-L6W-95S</t>
  </si>
  <si>
    <t>2FP95-L6W-95S-377</t>
  </si>
  <si>
    <t>2FP95-R6W-95S</t>
  </si>
  <si>
    <t>2FPH195-P8W-195SV-24</t>
  </si>
  <si>
    <t>2FPH55-P4W-55S-H24</t>
  </si>
  <si>
    <t>2FPH95-P6W-95S-H12</t>
  </si>
  <si>
    <t>2FPH95-P6W-95SV-H24</t>
  </si>
  <si>
    <t>2FR195R8W195S FLOW REGULATOR PRIORITY</t>
  </si>
  <si>
    <t xml:space="preserve">2FR195R8W195S377  </t>
  </si>
  <si>
    <t>2FR95L6W95S377 FLOW REGULATOR RESTRICT</t>
  </si>
  <si>
    <t>2FR95P6W95S377 FLOW REGULATOR RESTRICT</t>
  </si>
  <si>
    <t>2CFD2508W6W150S FLOW DIV/COMB CART PRES</t>
  </si>
  <si>
    <t>2FPH55P4W55SDM12 HAMMER HIC</t>
  </si>
  <si>
    <t>2FP55P4W55S-SF7LPM FLOW REGULATOR</t>
  </si>
  <si>
    <t>2CFRC60-P-4-S-SF20LPM</t>
  </si>
  <si>
    <t>2FPH95-R6W-95S-H24</t>
  </si>
  <si>
    <t>2CFD50-5SV</t>
  </si>
  <si>
    <t>2CFRC60-P-6-S-SF60LPM</t>
  </si>
  <si>
    <t>FR2-10-S-0-.10</t>
  </si>
  <si>
    <t>MPV1-10-K-0</t>
  </si>
  <si>
    <t>MRV2-10-0-0-5</t>
  </si>
  <si>
    <t>FDC1-16-0-66</t>
  </si>
  <si>
    <t>FDC3-16-0-88</t>
  </si>
  <si>
    <t>PCS3-16-0-160</t>
  </si>
  <si>
    <t>PCS4-10-0-80</t>
  </si>
  <si>
    <t>PCS4-16-0-160</t>
  </si>
  <si>
    <t>MRV4-10-0-0</t>
  </si>
  <si>
    <t>MRV2-10-L-0-5</t>
  </si>
  <si>
    <t>MRV2-10-D-0-5</t>
  </si>
  <si>
    <t>MRV2-16-D-0-30</t>
  </si>
  <si>
    <t>MRV2-16-K-0-45</t>
  </si>
  <si>
    <t>FR2-10-S-0-10</t>
  </si>
  <si>
    <t>MRV2-10-K-0-5</t>
  </si>
  <si>
    <t>MRV2-16-K-0-20</t>
  </si>
  <si>
    <t>PCS4-16-0-80</t>
  </si>
  <si>
    <t>MRV2-10-0-0-15</t>
  </si>
  <si>
    <t>FR2-10-S-0-5</t>
  </si>
  <si>
    <t>MRV2-10-K-0-15</t>
  </si>
  <si>
    <t>FDC1-16-0-44</t>
  </si>
  <si>
    <t>NV1-10-R-0</t>
  </si>
  <si>
    <t>MRV2-10-L-0-10</t>
  </si>
  <si>
    <t>MRV2-16-L-0-20</t>
  </si>
  <si>
    <t>PCS3-16-0-80</t>
  </si>
  <si>
    <t>PFR2-10-C-0-1</t>
  </si>
  <si>
    <t>MRV2-10-L-0-15</t>
  </si>
  <si>
    <t>MPV1-10-T-0</t>
  </si>
  <si>
    <t>FDC3-16-0-66</t>
  </si>
  <si>
    <t>MRV2-16-L-0-45</t>
  </si>
  <si>
    <t>FDC1-16-0-33</t>
  </si>
  <si>
    <t>FR2-10-S-0-1</t>
  </si>
  <si>
    <t>FR2-10-S-0-.50</t>
  </si>
  <si>
    <t>FDC3-16-0-33</t>
  </si>
  <si>
    <t>FCV6-16-K-0-NV</t>
  </si>
  <si>
    <t>FCV6-16-S-0-NV</t>
  </si>
  <si>
    <t xml:space="preserve">NV1-10-0-0  </t>
  </si>
  <si>
    <t>MRV3-16-D-0</t>
  </si>
  <si>
    <t>PFR2-10-S-0-3</t>
  </si>
  <si>
    <t>FCV6-16-C-0-NV</t>
  </si>
  <si>
    <t>PFR2-16-S-0-/20.00</t>
  </si>
  <si>
    <t>MRV2-10-D-0-10</t>
  </si>
  <si>
    <t>MRV2-10-K-0-10</t>
  </si>
  <si>
    <t>MRV2-16-K-0-40</t>
  </si>
  <si>
    <t>PCS3-10-0-S-160</t>
  </si>
  <si>
    <t>PCS4-16-0-40</t>
  </si>
  <si>
    <t>VF11-10-F-0-6</t>
  </si>
  <si>
    <t>FDC1-20-20T-88</t>
  </si>
  <si>
    <t>NV1-16V-0-0</t>
  </si>
  <si>
    <t>NV1-16V-K-0</t>
  </si>
  <si>
    <t>2CFD150-100-S</t>
  </si>
  <si>
    <t>2CFD150-150-S</t>
  </si>
  <si>
    <t>2CFD40-12S</t>
  </si>
  <si>
    <t>2CFD40-22S</t>
  </si>
  <si>
    <t>2CFD40-40S</t>
  </si>
  <si>
    <t>2CFD40-40SV</t>
  </si>
  <si>
    <t>2CFD40-50S</t>
  </si>
  <si>
    <t>2CFR30P10S FLOW REGULATOR PRIO AL</t>
  </si>
  <si>
    <t>2CFR30P15SV FLOW REGULATOR CART 2CFR</t>
  </si>
  <si>
    <t>2CN20-P-S</t>
  </si>
  <si>
    <t>2CN20-R-S</t>
  </si>
  <si>
    <t>2CR30-P-S</t>
  </si>
  <si>
    <t>2CFD150-100-SV</t>
  </si>
  <si>
    <t>2CFD150-150-SV</t>
  </si>
  <si>
    <t>2CFD40-50SV</t>
  </si>
  <si>
    <t>2CFD45-4W-3W-40S</t>
  </si>
  <si>
    <t>2CFR30P15S FLOW REGULATOR CART 2CFR</t>
  </si>
  <si>
    <t>2CFR30P1S FLOW REGULATOR CART 2CFR</t>
  </si>
  <si>
    <t>2CFR30P2S FLOW REGULATOR CART 2CFR</t>
  </si>
  <si>
    <t>2CFR30P6S FLOW REGULATOR CART 2CFR</t>
  </si>
  <si>
    <t>2CFR30R4S FLOW REGULATOR CART 2CFR</t>
  </si>
  <si>
    <t>2CN20-R-SV</t>
  </si>
  <si>
    <t>2CFR30R2S FLOW REGULATOR</t>
  </si>
  <si>
    <t>2CFR30R1S FLOW REGULATOR</t>
  </si>
  <si>
    <t>NV1-16-K-0</t>
  </si>
  <si>
    <t>FDC1-10-0-33</t>
  </si>
  <si>
    <t>FDC1-10-0-66</t>
  </si>
  <si>
    <t>FDC3-10-0-66</t>
  </si>
  <si>
    <t>FDC1-10-0-44</t>
  </si>
  <si>
    <t>FDC1-10-0-.5.5</t>
  </si>
  <si>
    <t>FDC1-10-0-11</t>
  </si>
  <si>
    <t>FDC1-10-0-22</t>
  </si>
  <si>
    <t>FDC3-10-0-33</t>
  </si>
  <si>
    <t>FDC1-10-0-88</t>
  </si>
  <si>
    <t>NV1-20-0-0</t>
  </si>
  <si>
    <t>MRV2-16-K-0-35</t>
  </si>
  <si>
    <t>FR5-8-F-0-0.10</t>
  </si>
  <si>
    <t>FR5-10-F-0-3.00</t>
  </si>
  <si>
    <t>FR5-10-F-0-4.00</t>
  </si>
  <si>
    <t>PFR5-10-F-0-6.00</t>
  </si>
  <si>
    <t>FR5-10-F-0-3.50</t>
  </si>
  <si>
    <t>FAR1-10-H-0-10</t>
  </si>
  <si>
    <t>PFR5-10-F-0-4.0</t>
  </si>
  <si>
    <t>FCV11-12-K-0-NV</t>
  </si>
  <si>
    <t>FAR1-10-H-0-00</t>
  </si>
  <si>
    <t>FAR1-10-H-0-6.00</t>
  </si>
  <si>
    <t>PFR5-10-F-0-2.40</t>
  </si>
  <si>
    <t>FAR1-10-H-0-8.00</t>
  </si>
  <si>
    <t>NV1-16-R-0</t>
  </si>
  <si>
    <t>FDC11-16-0-44</t>
  </si>
  <si>
    <t>FDC11-16-0-33</t>
  </si>
  <si>
    <t>FDC11-16-0-22</t>
  </si>
  <si>
    <t xml:space="preserve">PFR5-10-F-0-0.40  </t>
  </si>
  <si>
    <t>PFR5-10-F-0-1-05</t>
  </si>
  <si>
    <t>PCS14-12N-0-160-00</t>
  </si>
  <si>
    <t>PCS13-10N-0-0-160-00</t>
  </si>
  <si>
    <t>FR5-8-F-0-.16</t>
  </si>
  <si>
    <t>PFR12-12N-S-0-20-00</t>
  </si>
  <si>
    <t>PFR5-8V-F-0-1</t>
  </si>
  <si>
    <t>PFR12-10N-S-0-8.40-00</t>
  </si>
  <si>
    <t>PFR5-10-F-0-2.80</t>
  </si>
  <si>
    <t>PFR12-16N-C-0-18-00</t>
  </si>
  <si>
    <t>PFR12-12N-K-0-10-00</t>
  </si>
  <si>
    <t>PFR12-10N-S-0-2.80-00</t>
  </si>
  <si>
    <t>PFR12-10N-S-S3G2.80-00</t>
  </si>
  <si>
    <t>PFR5-10-F-0-.75</t>
  </si>
  <si>
    <t>PFR12-12N-C-0-10-00</t>
  </si>
  <si>
    <t>2FPH250-P8W-250SV-H24</t>
  </si>
  <si>
    <t>2FR25R3W25S FLOW REGULATOR RESTRICT</t>
  </si>
  <si>
    <t>2FRC195P8W195SV377 FLOW REGULATOR RESTRICT</t>
  </si>
  <si>
    <t>2FB25-R3W-25S</t>
  </si>
  <si>
    <t>2CFD155-6W-150S</t>
  </si>
  <si>
    <t>2CFD250-10W-8W-220S</t>
  </si>
  <si>
    <t>2FB95-P6W-95S-377</t>
  </si>
  <si>
    <t>2FBAR55-P4W-55S</t>
  </si>
  <si>
    <t>2FBAR95-P6W-95S-377</t>
  </si>
  <si>
    <t>2FP195-R8W-195S</t>
  </si>
  <si>
    <t>2FR25D3W25S FLOW REGULATOR PRIORITY</t>
  </si>
  <si>
    <t>2FR55P4W55S FLOW REGULATOR RESTRICT</t>
  </si>
  <si>
    <t>2FR55P4W55S377 FLOW REGULATOR RESTRICT</t>
  </si>
  <si>
    <t>2FR55R4W55S FLOW REGULATOR RESTRICT</t>
  </si>
  <si>
    <t>2FR95P6W95S FLOW REGULATOR RESTRICT</t>
  </si>
  <si>
    <t>2FR95R6W95S FLOW REGULATOR RESTRICT</t>
  </si>
  <si>
    <t>2FRC195P8W195S FLOW REGULATOR RESTRICT</t>
  </si>
  <si>
    <t>2FRC25P3W25S FLOW REGULATOR RESTRICT</t>
  </si>
  <si>
    <t>2FRC55P4W55S FLOW REGULATOR RESTRICT</t>
  </si>
  <si>
    <t>2FRC55R4W55S FLOW REGULATOR RESTRICT</t>
  </si>
  <si>
    <t>2FRC95P6W95S FLOW REGULATOR RESTRICT</t>
  </si>
  <si>
    <t>NV1-10-K-0</t>
  </si>
  <si>
    <t>PCS3-10-0-80</t>
  </si>
  <si>
    <t>PCS3-16-0-S-80</t>
  </si>
  <si>
    <t>PCS3-10-0-160</t>
  </si>
  <si>
    <t>NV1-20-K-0</t>
  </si>
  <si>
    <t>PCS3-20-0-80</t>
  </si>
  <si>
    <t>SPC2-10-P-0-100</t>
  </si>
  <si>
    <t>CV3-10V-P-0-210</t>
  </si>
  <si>
    <t>VF1-16-F-0-/20.00</t>
  </si>
  <si>
    <t>CV1-16V-P-0-5</t>
  </si>
  <si>
    <t>VF11-10N-F-000-4.00-00-A</t>
  </si>
  <si>
    <t>CV3-10V-P-0-3</t>
  </si>
  <si>
    <t>CV11-12-P-0-80</t>
  </si>
  <si>
    <t>CV11-12-P-0-10</t>
  </si>
  <si>
    <t>CV11-12-P-0-5</t>
  </si>
  <si>
    <t>SPC2-10V-P-0-25</t>
  </si>
  <si>
    <t>CV2-20V-P-0-15</t>
  </si>
  <si>
    <t>CV2-20V-P-0-5</t>
  </si>
  <si>
    <t>CV3-10V-P-0-10</t>
  </si>
  <si>
    <t>CV1-16V-P-0-20</t>
  </si>
  <si>
    <t>CV2-20V-P-0-30</t>
  </si>
  <si>
    <t>CV11-12-P-0-40</t>
  </si>
  <si>
    <t>CV11-12-P-0-20</t>
  </si>
  <si>
    <t>CV11-12-P-0-2.5</t>
  </si>
  <si>
    <t>CV11-12-P-0-160</t>
  </si>
  <si>
    <t>DSV4-16V-C-0-40</t>
  </si>
  <si>
    <t>CV3-10V-P-0-20</t>
  </si>
  <si>
    <t>CV3-8-P-0-4</t>
  </si>
  <si>
    <t>CV3-8-P-0-10</t>
  </si>
  <si>
    <t>CV3-8-P-0-25</t>
  </si>
  <si>
    <t>CV3-8-P-0-60</t>
  </si>
  <si>
    <t>POC1-10-F-0-005</t>
  </si>
  <si>
    <t>POC1-10-F-0-030</t>
  </si>
  <si>
    <t>POC1-10-F-0-100</t>
  </si>
  <si>
    <t>POC1-12-F-0-005</t>
  </si>
  <si>
    <t>POC1-12-F-0-030</t>
  </si>
  <si>
    <t>POC1-12-F-0-075</t>
  </si>
  <si>
    <t>POC1-12-F-0-100</t>
  </si>
  <si>
    <t>SPC2-8-P-0-15</t>
  </si>
  <si>
    <t>SPC2-8-P-0-35</t>
  </si>
  <si>
    <t>SPC2-8-P-0-65</t>
  </si>
  <si>
    <t>CV3-8V-P-0-4</t>
  </si>
  <si>
    <t>CV3-8V-P-0-10</t>
  </si>
  <si>
    <t>CV16-10-P-0-5</t>
  </si>
  <si>
    <t>DSV3-8-B-S-2</t>
  </si>
  <si>
    <t>CV11-12V-P-0-20</t>
  </si>
  <si>
    <t>VF1-16-F-0-/4.00</t>
  </si>
  <si>
    <t>CV16-10V-P-0-25</t>
  </si>
  <si>
    <t>CV16-10V-P-0-5</t>
  </si>
  <si>
    <t>CV1-16-P-0-40</t>
  </si>
  <si>
    <t>CV11-12V-P-0-40</t>
  </si>
  <si>
    <t>CV3-8-P-0-15</t>
  </si>
  <si>
    <t>CV1-16-P-0-100</t>
  </si>
  <si>
    <t>CV3-10-P-0-35</t>
  </si>
  <si>
    <t>CV11-16-P-0-50</t>
  </si>
  <si>
    <t>CV3-10-P-0-3-SS</t>
  </si>
  <si>
    <t>POC1-10V-F-0-5</t>
  </si>
  <si>
    <t>CV13-10-P-0-3</t>
  </si>
  <si>
    <t>CV13-10V-P-0-3</t>
  </si>
  <si>
    <t>CV13-10-P-0-10</t>
  </si>
  <si>
    <t>CV13-10V-P-0-10</t>
  </si>
  <si>
    <t>CV13-10-P-0-20</t>
  </si>
  <si>
    <t>CV13-10-P-0-40</t>
  </si>
  <si>
    <t>CV13-10-P-0-180</t>
  </si>
  <si>
    <t>POC1-10V-F-0-100</t>
  </si>
  <si>
    <t>DPC2-8U-A-25-0</t>
  </si>
  <si>
    <t>CV11-16-P-0-20</t>
  </si>
  <si>
    <t>CV11-12-P-0-50</t>
  </si>
  <si>
    <t>CV11-16-P-0-5</t>
  </si>
  <si>
    <t>CV11-16V-P-0-5</t>
  </si>
  <si>
    <t>CV1-16-P-0-220</t>
  </si>
  <si>
    <t>SPC2-10V-P-0-50</t>
  </si>
  <si>
    <t>CV11-16V-P-0-20</t>
  </si>
  <si>
    <t>CV3-8V-P-0-15</t>
  </si>
  <si>
    <t>4CK30-1-S</t>
  </si>
  <si>
    <t>4CK30-1-S-3</t>
  </si>
  <si>
    <t>4CK90-1-S</t>
  </si>
  <si>
    <t>4CK90-1-S-3</t>
  </si>
  <si>
    <t>4CKD90-1-S</t>
  </si>
  <si>
    <t>4CKD90-1-S-3</t>
  </si>
  <si>
    <t>4CK120-1-S</t>
  </si>
  <si>
    <t>4CK300-1-S3</t>
  </si>
  <si>
    <t>5CK30-1-S-2</t>
  </si>
  <si>
    <t>5CK300-1-S-2</t>
  </si>
  <si>
    <t>4SK30-3-S</t>
  </si>
  <si>
    <t>4SK30-3-S3</t>
  </si>
  <si>
    <t>4SK90-4-S</t>
  </si>
  <si>
    <t>4SK904S3            XPR 4CK90 IN T2A CAVITY 4:1</t>
  </si>
  <si>
    <t>4SK140-3-S-3</t>
  </si>
  <si>
    <t>3CA20-1.5S</t>
  </si>
  <si>
    <t>3CA20-0.2S CHECK VALVE</t>
  </si>
  <si>
    <t>3CA20-0.2SV CHECK VALVE</t>
  </si>
  <si>
    <t>3CA20-0.5S</t>
  </si>
  <si>
    <t>3CA20-3.5S</t>
  </si>
  <si>
    <t>3CA20-7.0S</t>
  </si>
  <si>
    <t>3CA20-7.0SV</t>
  </si>
  <si>
    <t>3CP2-1.5-S</t>
  </si>
  <si>
    <t>4CK301P3 CHECK VALVE PILOT OP 3:1</t>
  </si>
  <si>
    <t>4CK30-1-SV</t>
  </si>
  <si>
    <t>4CK30-1-SV3</t>
  </si>
  <si>
    <t>4CKD90-P-3</t>
  </si>
  <si>
    <t>3CA20-0.5SV</t>
  </si>
  <si>
    <t>3CA20-1.5SV</t>
  </si>
  <si>
    <t>3CA20-10.0S CHECK CARTRIDGE</t>
  </si>
  <si>
    <t>3CA20-2.5S CHECK VALVE</t>
  </si>
  <si>
    <t>3CA300-0.3-S</t>
  </si>
  <si>
    <t>3CA300-4.0-S</t>
  </si>
  <si>
    <t>3CA80-1.5SV CHECK VALVE</t>
  </si>
  <si>
    <t>3CP2-0.3S CHECK CART   STEEL SEAT</t>
  </si>
  <si>
    <t>3CP2-0.9-S</t>
  </si>
  <si>
    <t>3CP2-3.0S CHECK CART   STEEL SEAT</t>
  </si>
  <si>
    <t>4CK120-1-SV</t>
  </si>
  <si>
    <t>4CK300-1-SV3</t>
  </si>
  <si>
    <t>4CK30-1-P</t>
  </si>
  <si>
    <t>4CK90-1-SV</t>
  </si>
  <si>
    <t>4CKD90-1-SV-3</t>
  </si>
  <si>
    <t>5CK300-1-SV-2</t>
  </si>
  <si>
    <t>5CK3010.2S2 PILOT TO CLOSE CHECK</t>
  </si>
  <si>
    <t>4CK954WS3 CHECK VALVE PILOT OP 3:1</t>
  </si>
  <si>
    <t>5CK30-1-P-2-B6F</t>
  </si>
  <si>
    <t>5CK30-1-SV-2 CHECK CARTRIDGE</t>
  </si>
  <si>
    <t>3CA300-0.3-SV</t>
  </si>
  <si>
    <t>3CA20-3.5SV</t>
  </si>
  <si>
    <t>CV3-10-P-0-3</t>
  </si>
  <si>
    <t>CV3-10-P-0-65</t>
  </si>
  <si>
    <t>CV1-16-P-0-5</t>
  </si>
  <si>
    <t>SPC2-10-P-0-25</t>
  </si>
  <si>
    <t>DSV4-10-C-0-40</t>
  </si>
  <si>
    <t>CV2-20-P-0-5</t>
  </si>
  <si>
    <t>CV3-10-P-0-10</t>
  </si>
  <si>
    <t>CV3-10-P-0-100</t>
  </si>
  <si>
    <t>SPC2-16-P-0</t>
  </si>
  <si>
    <t>CV2-20-P-0-30</t>
  </si>
  <si>
    <t>SPC2-10-P-0-50</t>
  </si>
  <si>
    <t>CV1-16-P-0-20</t>
  </si>
  <si>
    <t>CV2-20-P-0-60</t>
  </si>
  <si>
    <t>CV3-10-P-0-20</t>
  </si>
  <si>
    <t>CV2-20-P-0-15</t>
  </si>
  <si>
    <t>CV2-20-P-0-100</t>
  </si>
  <si>
    <t>CV1-16-P-0-50</t>
  </si>
  <si>
    <t>CV3-10-P-0-40</t>
  </si>
  <si>
    <t>CV3-10-P-0-180</t>
  </si>
  <si>
    <t xml:space="preserve">DSV28NBA309W00A  </t>
  </si>
  <si>
    <t>CV3-10-P-0-210</t>
  </si>
  <si>
    <t>CV1-16-P-0-30</t>
  </si>
  <si>
    <t>PCS3-10-0-S-80</t>
  </si>
  <si>
    <t>3IC50S CHECK INSERT  03bSTEEL SEAT BALL</t>
  </si>
  <si>
    <t>CV1-10V-P-0-5</t>
  </si>
  <si>
    <t>CV1-10V-P-0-300</t>
  </si>
  <si>
    <t>CV1-10V-B-0-5</t>
  </si>
  <si>
    <t>3CA80-0.2S POPPET CHECK VALVE</t>
  </si>
  <si>
    <t>3CA80-1.5S POPPET CHECK VALVE</t>
  </si>
  <si>
    <t>3CA200-0.2S CHECK VALVE</t>
  </si>
  <si>
    <t>3CA200-0.6S CHECK VALVE</t>
  </si>
  <si>
    <t>3CA200-1.4S CHECK VALVE</t>
  </si>
  <si>
    <t>3CA200-10.0S CHECK VALVE</t>
  </si>
  <si>
    <t>3CA200-7.0S CHECK VALVE</t>
  </si>
  <si>
    <t>3CA50-0.2S POPPET CHECK VALVE</t>
  </si>
  <si>
    <t>3CA50-1.5S POPPET CHECK VALVE</t>
  </si>
  <si>
    <t>3CA50-1.5SV POPPET CHECK VALVE</t>
  </si>
  <si>
    <t>3CA80-0.2SV POPPET CHECK VALVE</t>
  </si>
  <si>
    <t>3CA80-0.5S POPPET CHECK VALVE</t>
  </si>
  <si>
    <t>3CA80-7.0S POPPET CHECK VALVE</t>
  </si>
  <si>
    <t>3CA200-0.6SV CHECK CARTRIDGE</t>
  </si>
  <si>
    <t>3CA200-3.0S CHECK CARTRIDGE</t>
  </si>
  <si>
    <t>3CA50-0.3S POPPET CHECK VALVE</t>
  </si>
  <si>
    <t>3CA50-2.0SV POPPET CHECK VALVE</t>
  </si>
  <si>
    <t>3CA50-3.0S POPPET CHECK VALVE</t>
  </si>
  <si>
    <t>3CA50-4.5SV POPPET CHECK VALVE</t>
  </si>
  <si>
    <t>3CA50-7.0S POPPET CHECK VALVE</t>
  </si>
  <si>
    <t>3CA50-7.0SV POPPET CHECK VALVE</t>
  </si>
  <si>
    <t>3CA80-0.5SV POPPET CHECK VALVE</t>
  </si>
  <si>
    <t>3CA80-10.0S POPPET CHECK VALVE</t>
  </si>
  <si>
    <t>3CA80-14.0S POPPET CHECK VALVE</t>
  </si>
  <si>
    <t>3CA80-3.5S BALL CHECK VALVE</t>
  </si>
  <si>
    <t>3CA80-30.0S POPPET CHECK VALVE</t>
  </si>
  <si>
    <t>3CA80-5.0S POPPET CHECK VALVE</t>
  </si>
  <si>
    <t xml:space="preserve">4KD25N2S3  </t>
  </si>
  <si>
    <t>CV1-10-B-0-5</t>
  </si>
  <si>
    <t>CV1-10-P-0-5</t>
  </si>
  <si>
    <t>CV1-10-P-0-15</t>
  </si>
  <si>
    <t>CV1-10-P-0-65</t>
  </si>
  <si>
    <t>CV1-10-P-0-100</t>
  </si>
  <si>
    <t>CV1-10-P-0-30</t>
  </si>
  <si>
    <t>POC1-10-S-0-005</t>
  </si>
  <si>
    <t>POC1-10-S-0-030</t>
  </si>
  <si>
    <t>POC1-12-S-0-005</t>
  </si>
  <si>
    <t>CV16-10-P-0-15</t>
  </si>
  <si>
    <t>CV16-10-P-0-25</t>
  </si>
  <si>
    <t>CV16-10-P-0-50</t>
  </si>
  <si>
    <t>CV3-4-B-0-5</t>
  </si>
  <si>
    <t>CV3-4-P-000-05-00 WARRANTY ISSUE - IH</t>
  </si>
  <si>
    <t>CHECK INSERT  STEEL  SEAT BALL</t>
  </si>
  <si>
    <t>4CK120-1-S3</t>
  </si>
  <si>
    <t>5CK120-1-S-2</t>
  </si>
  <si>
    <t>4CKKT50-3S3-35</t>
  </si>
  <si>
    <t>4CKKT50-3S3-24</t>
  </si>
  <si>
    <t>5CK301SPR4 PILOT TO CLOSE CHECK</t>
  </si>
  <si>
    <t>3CA300-1.0-S</t>
  </si>
  <si>
    <t>4CK120P CHECK VALVE</t>
  </si>
  <si>
    <t>4SK30-5-S3</t>
  </si>
  <si>
    <t>DSV3-8-B-A-2</t>
  </si>
  <si>
    <t xml:space="preserve">HAND PUMP  </t>
  </si>
  <si>
    <t>MRV3-10-D2-0</t>
  </si>
  <si>
    <t>PTS4-16-0-40</t>
  </si>
  <si>
    <t>PTS1-10V-0-160</t>
  </si>
  <si>
    <t>PTS1-16-12T-160</t>
  </si>
  <si>
    <t>MRV2-16-L-16T-30</t>
  </si>
  <si>
    <t>MRV3-10V-0-0</t>
  </si>
  <si>
    <t>MRV4-10V-0-0</t>
  </si>
  <si>
    <t>MRV3-10-E2-0</t>
  </si>
  <si>
    <t>MRV3-16-D2-0</t>
  </si>
  <si>
    <t>SV13-20V-C-0-00</t>
  </si>
  <si>
    <t>PTS6-10-3G-60</t>
  </si>
  <si>
    <t>PTS9-16-U-0-000-070-00</t>
  </si>
  <si>
    <t>PTS9-12-U-000-075</t>
  </si>
  <si>
    <t>PTS9-8N-0-000-080</t>
  </si>
  <si>
    <t xml:space="preserve">PTS9-10N-0000-160-00-A  </t>
  </si>
  <si>
    <t>PTS13-10N-0-80-00</t>
  </si>
  <si>
    <t>PTS11-16-0-160-00</t>
  </si>
  <si>
    <t>PTS13-10-0-160-00</t>
  </si>
  <si>
    <t>PTS16-10-0-50-00</t>
  </si>
  <si>
    <t>PTS16-12-0-40-00</t>
  </si>
  <si>
    <t>MSV11-10-E-0-00</t>
  </si>
  <si>
    <t>MSV11-10V-N-0-00</t>
  </si>
  <si>
    <t>1RDS3021P10S</t>
  </si>
  <si>
    <t>1RDS3021P2S</t>
  </si>
  <si>
    <t>1RDS3032P2S SEQUENCE VALVE</t>
  </si>
  <si>
    <t>1RDS3032P6S SEQUENCE CARTRIDGE</t>
  </si>
  <si>
    <t>1RDS3032P8S SEQUENCE CARTRIDGE</t>
  </si>
  <si>
    <t>1SB304-P-12S</t>
  </si>
  <si>
    <t>1RDS3021P6S</t>
  </si>
  <si>
    <t>1RDS3022P2S</t>
  </si>
  <si>
    <t>1RDS3022P6S</t>
  </si>
  <si>
    <t>1RDS3022P8S</t>
  </si>
  <si>
    <t>1RDS3031P2S COMPOUND FLOW HIC</t>
  </si>
  <si>
    <t>1RDS3031P6S SEQUENCE VALVE</t>
  </si>
  <si>
    <t>1RDS3032P6SV SEQUENCE VALVE</t>
  </si>
  <si>
    <t>1SB304-P-6S</t>
  </si>
  <si>
    <t>1RDS3032P0.7S COMPOUND FLOW HIC</t>
  </si>
  <si>
    <t>1RDS303-1-P-10S</t>
  </si>
  <si>
    <t>1RDS303-2-P8-SV</t>
  </si>
  <si>
    <t>PTS1-10-0-80</t>
  </si>
  <si>
    <t>PTS1-16-0-80</t>
  </si>
  <si>
    <t>PTS1-20-0-80</t>
  </si>
  <si>
    <t>PTS7-10-0-80</t>
  </si>
  <si>
    <t xml:space="preserve">DSV5 10 0  </t>
  </si>
  <si>
    <t>PTS1-16-0-160</t>
  </si>
  <si>
    <t>MRV4-10-K-0</t>
  </si>
  <si>
    <t>MRV5-10-D-0</t>
  </si>
  <si>
    <t>MRV3-10-K-0</t>
  </si>
  <si>
    <t>PTS6-10-0-60</t>
  </si>
  <si>
    <t>PTS2-10-0-160</t>
  </si>
  <si>
    <t>MRV4-10-D-0</t>
  </si>
  <si>
    <t>PTS7-10-0-40</t>
  </si>
  <si>
    <t>PTS7-10-0-160</t>
  </si>
  <si>
    <t>PTS5-10-0-50</t>
  </si>
  <si>
    <t>PTS3-10-0-80</t>
  </si>
  <si>
    <t>MRV2-16-K-0-30</t>
  </si>
  <si>
    <t>MRV2-10-D-0-15</t>
  </si>
  <si>
    <t>MRV3-10-D-0</t>
  </si>
  <si>
    <t>PTS1-10-0-160</t>
  </si>
  <si>
    <t>PTS1-10-0-40</t>
  </si>
  <si>
    <t>PTS3-10-0-40</t>
  </si>
  <si>
    <t>PTS3-10-0-160</t>
  </si>
  <si>
    <t>PTS3-20-0-40</t>
  </si>
  <si>
    <t>PTS1-16-0-40</t>
  </si>
  <si>
    <t>PTS1-20-0-40</t>
  </si>
  <si>
    <t>MRV4-16-D-0</t>
  </si>
  <si>
    <t>MRV4-16-K-0</t>
  </si>
  <si>
    <t>MRV6-10-D-0</t>
  </si>
  <si>
    <t>PTS3-16-0-160</t>
  </si>
  <si>
    <t>PTS3-16-0-40</t>
  </si>
  <si>
    <t>PTS3-16-0-80</t>
  </si>
  <si>
    <t>PTS3-20-0-80</t>
  </si>
  <si>
    <t>PTS5-16-0-80</t>
  </si>
  <si>
    <t>1RDS2021P12S COMPOUND FLOW HIC</t>
  </si>
  <si>
    <t>1RDS2021P2S SEQUENCE VALVE</t>
  </si>
  <si>
    <t>1RDS2021P6S SEQUENCE VALVE</t>
  </si>
  <si>
    <t>1RDS2022P12S SEQUENCE VALVE</t>
  </si>
  <si>
    <t>1RDS2022P2S COMPOUND FLOW HIC</t>
  </si>
  <si>
    <t>PTS1-3041</t>
  </si>
  <si>
    <t>PTS9-12-U-0000-110-00</t>
  </si>
  <si>
    <t>MSV1-12-L-0</t>
  </si>
  <si>
    <t>MSV5-12-L-0</t>
  </si>
  <si>
    <t>MSV1-12-E-0</t>
  </si>
  <si>
    <t>PTS12-12-0-120-04</t>
  </si>
  <si>
    <t>MSV11-10-L-0-00</t>
  </si>
  <si>
    <t>MSV17-10-L-0-00</t>
  </si>
  <si>
    <t>PTS15-12N-0-40-00</t>
  </si>
  <si>
    <t>PTS11-10-0-80-00</t>
  </si>
  <si>
    <t>PTS17-10-0-80-00</t>
  </si>
  <si>
    <t>PTS12-10-0-80-00</t>
  </si>
  <si>
    <t>PTS14-16N-0-80-00</t>
  </si>
  <si>
    <t>PTS11-12-0-80-00</t>
  </si>
  <si>
    <t>PTS13-12-0-80-04</t>
  </si>
  <si>
    <t>PTS12-10-0-160-00</t>
  </si>
  <si>
    <t>PTS14-16N-0-160-00</t>
  </si>
  <si>
    <t>PTS11-10-0-00</t>
  </si>
  <si>
    <t>1RDS702-2-1.0S</t>
  </si>
  <si>
    <t>ERV1-10-30-0-00</t>
  </si>
  <si>
    <t>ERV1-10-20-0-00</t>
  </si>
  <si>
    <t>ERV1-10-5.00-0-24DG</t>
  </si>
  <si>
    <t>ERV2-10-1.00-0-00</t>
  </si>
  <si>
    <t>ERV1-10-25.00-0-00</t>
  </si>
  <si>
    <t>ERV1-10-15.00-0-00</t>
  </si>
  <si>
    <t>EPRV1-5824-25</t>
  </si>
  <si>
    <t>EPRV2-6490-2-A</t>
  </si>
  <si>
    <t>EFV112NOBO00000000000000</t>
  </si>
  <si>
    <t>EFV112NCBS00000000000000</t>
  </si>
  <si>
    <t>EFV112NCB000000000000000</t>
  </si>
  <si>
    <t>EFV110NCB000000000000000</t>
  </si>
  <si>
    <t>EFV110NCC000000000000000</t>
  </si>
  <si>
    <t>EFV110N0C000000000000000</t>
  </si>
  <si>
    <t>EFV2-12-CA0-0-00</t>
  </si>
  <si>
    <t>EFV2-12-0A0-0-00</t>
  </si>
  <si>
    <t>EPRV3-10-10-0-00</t>
  </si>
  <si>
    <t>EFV2-12-CB0-0-00</t>
  </si>
  <si>
    <t>EFV2-12-CBS-0-00</t>
  </si>
  <si>
    <t>EFV2-12-CAS-0-00</t>
  </si>
  <si>
    <t>EPV10-0-0-V-24D-M-U-10</t>
  </si>
  <si>
    <t>EPV10-0-0-V-12D-M-U-10</t>
  </si>
  <si>
    <t>EPV10-0-0-V-12D-S-U-10</t>
  </si>
  <si>
    <t>EPV10-0-0-V-24D-0-U-10</t>
  </si>
  <si>
    <t>EPV10-0-0-V-24D-S-U-10</t>
  </si>
  <si>
    <t>EPV16-A-04-0-0-N-12D-S-W-13</t>
  </si>
  <si>
    <t>EPV16-A-04-0-0-N-12D-0-U-13</t>
  </si>
  <si>
    <t>EPV16-A-04-0-0-N-24D-0-U-13</t>
  </si>
  <si>
    <t>EPV16-A-06-0-0-N-12D-S-U-13</t>
  </si>
  <si>
    <t>EPV16-A-06-0-0-N-24D-M-U-13</t>
  </si>
  <si>
    <t>EPV16-A-06-0-0-N-24D-S-U-13</t>
  </si>
  <si>
    <t>EPV16-A-06-0-0-N-24D-0-U-13</t>
  </si>
  <si>
    <t>EPV16-A-10-0-0-N-12D-M-U-13</t>
  </si>
  <si>
    <t>EPV16-A-10-0-0-N-12D-S-U-13</t>
  </si>
  <si>
    <t>EPV16-A-10-0-0-N-24D-M-U-13</t>
  </si>
  <si>
    <t>EPV16-A-10-0-0-N-24D-S-U-13</t>
  </si>
  <si>
    <t>EPV16-A-10-0-0-N-24D-0-U-13</t>
  </si>
  <si>
    <t>EPV16-A-16-0-0-N-12D-M-U-13</t>
  </si>
  <si>
    <t>EPV16-A-16-0-0-N-12D-S-U-13</t>
  </si>
  <si>
    <t>EPV16-A-16-0-0-N-24D-M-U-13</t>
  </si>
  <si>
    <t>EPV16-A-16-0-0-N-24D-S-U-13</t>
  </si>
  <si>
    <t>EPV16-A-16-0-0-N-24D-0-U-13</t>
  </si>
  <si>
    <t>EPV16-A-16-A-12H-N-24D-0-U-13</t>
  </si>
  <si>
    <t>EPV16-B-06-0-0-N-24D-M-U-13</t>
  </si>
  <si>
    <t>EPV16-B-10-0-0-N-12D-M-N-13</t>
  </si>
  <si>
    <t>EPV16-B-16-0-0-N-12D-SI-Q-13</t>
  </si>
  <si>
    <t>EPV16-B-16-0-0-N-24D-M-U-13</t>
  </si>
  <si>
    <t>EPV16-B-16-0-0-N-24D-0-U-13</t>
  </si>
  <si>
    <t>KIT - COIL &amp; FRAME, 12 VDC WITH DIN 43650 CONNEC</t>
  </si>
  <si>
    <t>KIT - COIL &amp; FRAME, 24 VDC WITH DIN 43650 CONNEC</t>
  </si>
  <si>
    <t>EPV16-B-16-24D-U-13-S16</t>
  </si>
  <si>
    <t>EPV10-0-0-V-12D-0-U-10</t>
  </si>
  <si>
    <t>EPV16-B-10-0-0-N-24D-0-U-13-S26</t>
  </si>
  <si>
    <t>EPV16-B-16-0-0-N-24D-0-U-13-S26</t>
  </si>
  <si>
    <t>EFV1-10-CBS-0-00</t>
  </si>
  <si>
    <t>EFV1-12V-CDP-0-00</t>
  </si>
  <si>
    <t>EFV1-10-0A0-0-00</t>
  </si>
  <si>
    <t>PDR21AN35-6 PD06A5-AL</t>
  </si>
  <si>
    <t>PDR21AV20-6 PD06A5-AL</t>
  </si>
  <si>
    <t>PFR24AN-6 PD06A5-AL</t>
  </si>
  <si>
    <t>PPD22AN-6           XPR PROPORTIONAL FLOW REGU</t>
  </si>
  <si>
    <t>PDR21AV35-6 PD06A5-AL</t>
  </si>
  <si>
    <t>PDR21A-N-20-6-H-12</t>
  </si>
  <si>
    <t>MCSC012DGE00</t>
  </si>
  <si>
    <t>MCSC024DGE00</t>
  </si>
  <si>
    <t>ERV1-16-30.00-0-00</t>
  </si>
  <si>
    <t>ERV1-16-15.00-0-00</t>
  </si>
  <si>
    <t>ERV1-16-30.00-0-12DG</t>
  </si>
  <si>
    <t>EPRV2-8-0-00</t>
  </si>
  <si>
    <t>EPRV3-10-10-0-24DGJ</t>
  </si>
  <si>
    <t>EPRV3-10-20-0-00</t>
  </si>
  <si>
    <t>EPRV3-10-30-0-00</t>
  </si>
  <si>
    <t>IRV1-10-30-0-0-00</t>
  </si>
  <si>
    <t>EPV16-B-04-0-0-N-24D-M-U-13</t>
  </si>
  <si>
    <t>ESV1-8-0-0-00</t>
  </si>
  <si>
    <t>ESV1-8-C-0-00</t>
  </si>
  <si>
    <t>ESV1-10-0-0-00</t>
  </si>
  <si>
    <t>ESV1-10-C-0-00</t>
  </si>
  <si>
    <t>ESV1-12-0-0-00</t>
  </si>
  <si>
    <t>ESV1-12-C-0-00</t>
  </si>
  <si>
    <t>IRV1-10-15-0-0-00</t>
  </si>
  <si>
    <t>EPRV3-10-20-0-24DGJ</t>
  </si>
  <si>
    <t>ESV9-10-F0-0-00-A</t>
  </si>
  <si>
    <t>ESV9-10-FM-0-00-A</t>
  </si>
  <si>
    <t>ESV9-10-E0-0-00-A</t>
  </si>
  <si>
    <t>PDR21AN10-6 PD06A5-AL</t>
  </si>
  <si>
    <t>PDR21AN20-6         XPR PD06A5-AL</t>
  </si>
  <si>
    <t xml:space="preserve">PFR24AN  </t>
  </si>
  <si>
    <t>PFR21H-N-6 CARTRIDGE</t>
  </si>
  <si>
    <t>EFV3-29100-001 PROPORTIONAL 3 WAY DIREC</t>
  </si>
  <si>
    <t>SV1E-10-C-0-115AU</t>
  </si>
  <si>
    <t>SV1-10V-3-0-00</t>
  </si>
  <si>
    <t>23643 SOLENOID COIL-1087</t>
  </si>
  <si>
    <t>MCSCS240AP000010</t>
  </si>
  <si>
    <t>SV5-8-C-0-00</t>
  </si>
  <si>
    <t>SV5-8-O-0-00</t>
  </si>
  <si>
    <t>SV5-8V-O-0-00</t>
  </si>
  <si>
    <t>SV4-8-C-0-00</t>
  </si>
  <si>
    <t>SV4-8-O-0-00</t>
  </si>
  <si>
    <t>SV4-8-3-0-00</t>
  </si>
  <si>
    <t>SV4-8-3M-0-00</t>
  </si>
  <si>
    <t>SV1-8-3-0-00</t>
  </si>
  <si>
    <t>SV1-8-4-0-00</t>
  </si>
  <si>
    <t>SV3-12-C-0-00</t>
  </si>
  <si>
    <t>SV7-10-4-0-00</t>
  </si>
  <si>
    <t>SV3-12-0-0-00</t>
  </si>
  <si>
    <t>SV4-10V-C-0-00</t>
  </si>
  <si>
    <t>SV3E-10-C-0-115AU</t>
  </si>
  <si>
    <t>SV3-20V-0-0-00</t>
  </si>
  <si>
    <t>SV3-16V-0-0-00</t>
  </si>
  <si>
    <t>SV3-10V-C-0-00</t>
  </si>
  <si>
    <t>SV3-10V-0-0-00</t>
  </si>
  <si>
    <t>SV3-10-0-0-115AP</t>
  </si>
  <si>
    <t>SV1E-16-C-0-115AU</t>
  </si>
  <si>
    <t>SV1-16V-C-0-00</t>
  </si>
  <si>
    <t>SV1-10V-C-0-00</t>
  </si>
  <si>
    <t>SV3-10V-0-0-24DG</t>
  </si>
  <si>
    <t>SV3 12 C 0 115AG</t>
  </si>
  <si>
    <t>SV5-8V-C-0-00</t>
  </si>
  <si>
    <t>SV4-8-C-0-240AGS</t>
  </si>
  <si>
    <t>SV11-10-C-0-00</t>
  </si>
  <si>
    <t>SV11-10-4-0-00</t>
  </si>
  <si>
    <t>SV11-10-3-0-00</t>
  </si>
  <si>
    <t>SV13-10-C-0-00</t>
  </si>
  <si>
    <t>SV14-10-C-0-00</t>
  </si>
  <si>
    <t>SV14-10-O-0-00</t>
  </si>
  <si>
    <t>SV13-10-O-0-00</t>
  </si>
  <si>
    <t>SV13-10V-O-0-00</t>
  </si>
  <si>
    <t>SV13-20-O-0-00</t>
  </si>
  <si>
    <t>SV13-20-C-0-00</t>
  </si>
  <si>
    <t>SV13-16-O-0-00</t>
  </si>
  <si>
    <t>SV13-16-C-0-00</t>
  </si>
  <si>
    <t>SV13-12-O-0-00</t>
  </si>
  <si>
    <t>SV13-12V-0-0-00</t>
  </si>
  <si>
    <t>SV13-12-C-0-00</t>
  </si>
  <si>
    <t>SV13-12V-C-0-00</t>
  </si>
  <si>
    <t>SV5-8-0-0-12DGS</t>
  </si>
  <si>
    <t>SV4-8V-0-0-00</t>
  </si>
  <si>
    <t>SV11-10-3M-0-00</t>
  </si>
  <si>
    <t>SV3-12V-C-0-00</t>
  </si>
  <si>
    <t>SV1-8-3-0-12DNS</t>
  </si>
  <si>
    <t>SV11-10-4M-0-00</t>
  </si>
  <si>
    <t>SV13-10-CM-0-00</t>
  </si>
  <si>
    <t>SV13-12-CM-0-00</t>
  </si>
  <si>
    <t>SV13-20-0P-0-00</t>
  </si>
  <si>
    <t>SV13-20-OS-0-00</t>
  </si>
  <si>
    <t>SV15-8-0S-0-00</t>
  </si>
  <si>
    <t>SBV11-12-C-0-00</t>
  </si>
  <si>
    <t>SBV11-12-0-0-00</t>
  </si>
  <si>
    <t>SBV12-8-C-0-00</t>
  </si>
  <si>
    <t>SBV11-10-0-0-00</t>
  </si>
  <si>
    <t>SBV11-10-C-0-00</t>
  </si>
  <si>
    <t>SBV11-8-0-0-00</t>
  </si>
  <si>
    <t>SBV11-8-C-0-00</t>
  </si>
  <si>
    <t>MCSCJ024DA000010</t>
  </si>
  <si>
    <t>MCSCJ024AP000010</t>
  </si>
  <si>
    <t>MCSCJ120AP000010</t>
  </si>
  <si>
    <t>MCSCJ240AP000010</t>
  </si>
  <si>
    <t>SV14-8-O-0-00</t>
  </si>
  <si>
    <t>SV15-8-O-0-00</t>
  </si>
  <si>
    <t>SV15-8-C-0-00</t>
  </si>
  <si>
    <t>SV15-8V-C-0-00</t>
  </si>
  <si>
    <t>SV14-8-C-0-00</t>
  </si>
  <si>
    <t>SV14-8V-C-0-00</t>
  </si>
  <si>
    <t>SV11-8-3-0-00</t>
  </si>
  <si>
    <t>SV11-8-4-0-00</t>
  </si>
  <si>
    <t>COIL SPACER FOR SV9-10</t>
  </si>
  <si>
    <t>SRV2-10-S-0-8T-35-24DG</t>
  </si>
  <si>
    <t>SV3-10-0P-0-00</t>
  </si>
  <si>
    <t>SV3-10-CM-0-00</t>
  </si>
  <si>
    <t>SV1-16-CM-0-00</t>
  </si>
  <si>
    <t>SV3-20-0S-0-00</t>
  </si>
  <si>
    <t>SV4-10-3P-0-00</t>
  </si>
  <si>
    <t>SV4-10-0M-0-00</t>
  </si>
  <si>
    <t>SV4-10-4M-0-00</t>
  </si>
  <si>
    <t>SV1-10-3-6T-24BN</t>
  </si>
  <si>
    <t>SBV11-12-C-0-120AGH</t>
  </si>
  <si>
    <t>SBV12-8-C-0-12DGP</t>
  </si>
  <si>
    <t>SV13-10-CM-0-120AGH</t>
  </si>
  <si>
    <t>SV4-5784</t>
  </si>
  <si>
    <t>SV4-10-3-0-12DN</t>
  </si>
  <si>
    <t>SBV11-8V-C-0-00</t>
  </si>
  <si>
    <t>SBV11-10V-0-0-00</t>
  </si>
  <si>
    <t>SBV11-10V-C-0-00</t>
  </si>
  <si>
    <t>SBV12-8V-C-0-00</t>
  </si>
  <si>
    <t>SBV11-12V-C-0-00</t>
  </si>
  <si>
    <t>SRV-10-0-S-A10T-35-12DG</t>
  </si>
  <si>
    <t>SV11-10-4M-0-24DGH</t>
  </si>
  <si>
    <t>SV3-12V-0-0-00</t>
  </si>
  <si>
    <t>SV13-10-C-S3G-12DGH</t>
  </si>
  <si>
    <t>SV3-12-C-A6G-24DG</t>
  </si>
  <si>
    <t>SV1-10-4-6T-24BN</t>
  </si>
  <si>
    <t>SBV11-8-0-A6T-12DGP</t>
  </si>
  <si>
    <t>SV4-6384-0</t>
  </si>
  <si>
    <t>SV5-8-CF-0-00</t>
  </si>
  <si>
    <t>SV5-8-CMF-0-00</t>
  </si>
  <si>
    <t>SV5-8V-0PF-0-00</t>
  </si>
  <si>
    <t>SV98NA00000000000000</t>
  </si>
  <si>
    <t>SV98NF00000000000000</t>
  </si>
  <si>
    <t>SV98NEM0000000000000</t>
  </si>
  <si>
    <t>SV910NA00000000000000A</t>
  </si>
  <si>
    <t>SV910NE00000000000000A</t>
  </si>
  <si>
    <t>SV910NF00000000000000A</t>
  </si>
  <si>
    <t>SV910NF0A6T024DGJ0000A</t>
  </si>
  <si>
    <t>SV910VE0000024DGJ0000A</t>
  </si>
  <si>
    <t>SBV11-8-0-0-120AGP</t>
  </si>
  <si>
    <t>SV910NE0000012DNJ0000A</t>
  </si>
  <si>
    <t>SV9-8V-F-0-00</t>
  </si>
  <si>
    <t xml:space="preserve">SBV1-10-C-0-00  </t>
  </si>
  <si>
    <t xml:space="preserve">SV13-12-C-0-00-01  </t>
  </si>
  <si>
    <t xml:space="preserve">SV13-10-C-0-00-01  </t>
  </si>
  <si>
    <t xml:space="preserve">SBV11-10-C-0-00-01  </t>
  </si>
  <si>
    <t xml:space="preserve">SBV11-10-0-00-01  </t>
  </si>
  <si>
    <t xml:space="preserve">SV13-12-0-0-00-01  </t>
  </si>
  <si>
    <t xml:space="preserve">SV13-16-C-0-00-01  </t>
  </si>
  <si>
    <t xml:space="preserve">SBV1-12-C-0-00  </t>
  </si>
  <si>
    <t>MCSCS012DG000010</t>
  </si>
  <si>
    <t>MCSCS024DG000010</t>
  </si>
  <si>
    <t>MCSCS024AG000010</t>
  </si>
  <si>
    <t>MCSCS115AG000010</t>
  </si>
  <si>
    <t>MCSCS230AG000010</t>
  </si>
  <si>
    <t>MCSCS012BG000010</t>
  </si>
  <si>
    <t>MCSCS024BG000010</t>
  </si>
  <si>
    <t>MCSCS012DW0B0010</t>
  </si>
  <si>
    <t>MCSCS024DW0B0010</t>
  </si>
  <si>
    <t>MCSCS024BW0B0010</t>
  </si>
  <si>
    <t>MCSCS012DN000010</t>
  </si>
  <si>
    <t>MCSCS024DN000010</t>
  </si>
  <si>
    <t>MCSCS012BN000010</t>
  </si>
  <si>
    <t>MCSCS024BN000010</t>
  </si>
  <si>
    <t>MCSCS024DY000010</t>
  </si>
  <si>
    <t>MCSCP012DG000010</t>
  </si>
  <si>
    <t>MCSCP024DG000010</t>
  </si>
  <si>
    <t>MCSCP024AG000010</t>
  </si>
  <si>
    <t>MCSCP115AG000010</t>
  </si>
  <si>
    <t>MCSCP230AG000010</t>
  </si>
  <si>
    <t>MCSCP012BG000010</t>
  </si>
  <si>
    <t>MCSCP024BG000010</t>
  </si>
  <si>
    <t>MCSCP012DW0B0010</t>
  </si>
  <si>
    <t>MCSCP024DW0B0010</t>
  </si>
  <si>
    <t>MCSCP012DN000010</t>
  </si>
  <si>
    <t>MCSCP024DN000010</t>
  </si>
  <si>
    <t>MCSCP012BN000010</t>
  </si>
  <si>
    <t>MCSCP024BN000010</t>
  </si>
  <si>
    <t>MCSCP012DY000010</t>
  </si>
  <si>
    <t>MCSCP024DY000010</t>
  </si>
  <si>
    <t>MCSCP024DD000010</t>
  </si>
  <si>
    <t>MCSCP024BD000010</t>
  </si>
  <si>
    <t>MCSCJ012DG000010</t>
  </si>
  <si>
    <t>MCSCJ024DG000010</t>
  </si>
  <si>
    <t>MCSCJ024AG000010</t>
  </si>
  <si>
    <t>MCSCJ115AG000010</t>
  </si>
  <si>
    <t>MCSCJ230AG000010</t>
  </si>
  <si>
    <t>MCSCJ012BG000010</t>
  </si>
  <si>
    <t>MCSCJ024BG000010</t>
  </si>
  <si>
    <t>MCSCJ012DQ000010</t>
  </si>
  <si>
    <t>MCSCJ024DQ000010</t>
  </si>
  <si>
    <t>MCSCJ012DW0B0010</t>
  </si>
  <si>
    <t>MCSCJ024DW0B0010</t>
  </si>
  <si>
    <t>MCSCJ036DW0B0010</t>
  </si>
  <si>
    <t>MCSCJ024BW0B0010</t>
  </si>
  <si>
    <t>MCSCJ012DN000010</t>
  </si>
  <si>
    <t>MCSCJ024DN000010</t>
  </si>
  <si>
    <t>MCSCJ012BN000010</t>
  </si>
  <si>
    <t>MCSCJ024BN000010</t>
  </si>
  <si>
    <t>MCSCJ012DY000010</t>
  </si>
  <si>
    <t>MCSCJ024DY000010</t>
  </si>
  <si>
    <t>MCSCJ012BY000010</t>
  </si>
  <si>
    <t>MCSCJ024BY000010</t>
  </si>
  <si>
    <t>MCSCJ012DD000010</t>
  </si>
  <si>
    <t>MCSCJ024DD000010</t>
  </si>
  <si>
    <t>MCSCH012DG000010</t>
  </si>
  <si>
    <t>MCSCH024DG000010</t>
  </si>
  <si>
    <t>MCSCH024AG000010</t>
  </si>
  <si>
    <t>MCSCH115AG000010</t>
  </si>
  <si>
    <t>MCSCH230AG000010</t>
  </si>
  <si>
    <t>MCSCH024BG000010</t>
  </si>
  <si>
    <t>MCSCH012DQ000010</t>
  </si>
  <si>
    <t>MCSCH024DQ000010</t>
  </si>
  <si>
    <t>MCSCH012DW0B0010</t>
  </si>
  <si>
    <t>MCSCH024DW0B0010</t>
  </si>
  <si>
    <t>MCSCH012DN000010</t>
  </si>
  <si>
    <t>MCSCH024DN000010</t>
  </si>
  <si>
    <t>MCSCH012BN000010</t>
  </si>
  <si>
    <t>MCSCH024BN000010</t>
  </si>
  <si>
    <t>MCSCH012DY000010</t>
  </si>
  <si>
    <t>MCSCH024DY000010</t>
  </si>
  <si>
    <t>MCSCH024BY000010</t>
  </si>
  <si>
    <t>MCSCH024DD000010</t>
  </si>
  <si>
    <t>MCSCJ048DQ000010</t>
  </si>
  <si>
    <t>MCSCJ110DG000010</t>
  </si>
  <si>
    <t>MCSCJ125DG000010</t>
  </si>
  <si>
    <t>MCSCJ012DF0A0010</t>
  </si>
  <si>
    <t>MCSCS012BF0A0010</t>
  </si>
  <si>
    <t>MCSCH012BF0A0010</t>
  </si>
  <si>
    <t>MCSCS020BQ000010</t>
  </si>
  <si>
    <t>MCSCJ012DE0A0010</t>
  </si>
  <si>
    <t>MCSCJ012CY000010</t>
  </si>
  <si>
    <t>MCSCJ012CH0EAC10</t>
  </si>
  <si>
    <t>MCSCJ028BN000010</t>
  </si>
  <si>
    <t>MCSCS010BN000010</t>
  </si>
  <si>
    <t>MCSCJ012BF0E0010</t>
  </si>
  <si>
    <t>MCSCJ012BSCE0010</t>
  </si>
  <si>
    <t>MCSCJ024DM0FAC10</t>
  </si>
  <si>
    <t>MCSCS024DSLGAB10</t>
  </si>
  <si>
    <t>MCSCJ028DSMGAB10</t>
  </si>
  <si>
    <t>MCSCJ048DG000010</t>
  </si>
  <si>
    <t>MCSCS240AG000010</t>
  </si>
  <si>
    <t>MCSCH240AG000010</t>
  </si>
  <si>
    <t>MCSCH125DG000010</t>
  </si>
  <si>
    <t>MCSCS024DG00AF10</t>
  </si>
  <si>
    <t>MCSCH110DG000010</t>
  </si>
  <si>
    <t>MCSCH048DG000010</t>
  </si>
  <si>
    <t>MCSCP100DG000010</t>
  </si>
  <si>
    <t>MCSCH220DG000010</t>
  </si>
  <si>
    <t>MCSCS012BN00AT10</t>
  </si>
  <si>
    <t>MCSCJ012ZE0A0010</t>
  </si>
  <si>
    <t>SV1-10-3-0-28DWBJ</t>
  </si>
  <si>
    <t>SV17A-10N-4P-0-00-00</t>
  </si>
  <si>
    <t>SV11A-10N-3P-0-00-00</t>
  </si>
  <si>
    <t>SV2-10-C-0-00-06</t>
  </si>
  <si>
    <t>SV13-20-CM-S8G-24DGH</t>
  </si>
  <si>
    <t>SV14B-12N-3P-0-24DGR-00</t>
  </si>
  <si>
    <t>SV3-8-C-0-00</t>
  </si>
  <si>
    <t>SV3-8-CM-0-00</t>
  </si>
  <si>
    <t>SBV11-8V-C-0-24DGP</t>
  </si>
  <si>
    <t>SV11-10-3M-0-00-15</t>
  </si>
  <si>
    <t>SBV1-10V-C-0-00</t>
  </si>
  <si>
    <t>MRV13-16N-0-0-00</t>
  </si>
  <si>
    <t>LTC2AGL012KN000010</t>
  </si>
  <si>
    <t>C13H12/22</t>
  </si>
  <si>
    <t>C16H12/19</t>
  </si>
  <si>
    <t>C16H24/19</t>
  </si>
  <si>
    <t>C16H12/29</t>
  </si>
  <si>
    <t>C16H24/29</t>
  </si>
  <si>
    <t>C16F12/19</t>
  </si>
  <si>
    <t>C13H24/14</t>
  </si>
  <si>
    <t>C13F12/22</t>
  </si>
  <si>
    <t>C13H110/14</t>
  </si>
  <si>
    <t>C13H12/27</t>
  </si>
  <si>
    <t>C13H24/22</t>
  </si>
  <si>
    <t>C13DM12/14 UN-D</t>
  </si>
  <si>
    <t>C13DM12/22 UN-D</t>
  </si>
  <si>
    <t>C13DM24/14 UN-D</t>
  </si>
  <si>
    <t>C13F12/14</t>
  </si>
  <si>
    <t>C16DM24/19 UN-D</t>
  </si>
  <si>
    <t>C13F24/14</t>
  </si>
  <si>
    <t>C13F24/22</t>
  </si>
  <si>
    <t>C13H110/22</t>
  </si>
  <si>
    <t>C13H12/14</t>
  </si>
  <si>
    <t>C13H220/14</t>
  </si>
  <si>
    <t>C13H220/22</t>
  </si>
  <si>
    <t>C13H24/27</t>
  </si>
  <si>
    <t>C16DM12/19 BI-D</t>
  </si>
  <si>
    <t>C16DM12/21 UN-D</t>
  </si>
  <si>
    <t>C16DM24/29 BI-D</t>
  </si>
  <si>
    <t>C16F12/29</t>
  </si>
  <si>
    <t>C16F24/19</t>
  </si>
  <si>
    <t>C16H110/19</t>
  </si>
  <si>
    <t>C16H110/29</t>
  </si>
  <si>
    <t>C16H220/19</t>
  </si>
  <si>
    <t>C16DM24/21 UN-D</t>
  </si>
  <si>
    <t>C13DM12/14-BI-D</t>
  </si>
  <si>
    <t>C16DM12/29 BI-D</t>
  </si>
  <si>
    <t>C16H220/29</t>
  </si>
  <si>
    <t>C13DM24/22 UN-D</t>
  </si>
  <si>
    <t>C16DM28/29 UN-D</t>
  </si>
  <si>
    <t>C16H48/19</t>
  </si>
  <si>
    <t>S204N-6 2/2 SOLENOID VALVA M/O</t>
  </si>
  <si>
    <t>S217AN 2/2 BI DIRECTIONAL POPPE</t>
  </si>
  <si>
    <t>S229N               XPR 3/2 SOL/COIL ASSY  12VDC</t>
  </si>
  <si>
    <t xml:space="preserve">S229N-2  </t>
  </si>
  <si>
    <t>S520N 2/2 SOL/OP</t>
  </si>
  <si>
    <t>S521HN-2 3/2 SOL/OP</t>
  </si>
  <si>
    <t>S521N 3/2 SPOOL TYPE SOLENOID</t>
  </si>
  <si>
    <t>S525HN 3/2 POSITION SPOOL SOLEN</t>
  </si>
  <si>
    <t>S525N 3/2 POSITION SPOOL SOLEN</t>
  </si>
  <si>
    <t>S525N-2 3/2 POSITION SPOOL SOLEN</t>
  </si>
  <si>
    <t>S526N-2 3/2 SOLENOID VALVE 3W 12</t>
  </si>
  <si>
    <t>S542N 3/2 SOLENOID VALVE 3W 12</t>
  </si>
  <si>
    <t>S229N-3 3/2 SOL/COIL ASSY  12VDC</t>
  </si>
  <si>
    <t>S229V 3/2 SOLENOID POPPET VALV</t>
  </si>
  <si>
    <t>S520HN 3/2 SOL/OP</t>
  </si>
  <si>
    <t>S521HV 3/2 SOL/OP</t>
  </si>
  <si>
    <t>S521N-2 3 PORT SOLENOID CART</t>
  </si>
  <si>
    <t>S521V 3/2 POSITION SPOOL SOLEN</t>
  </si>
  <si>
    <t>S525V2 SOLENOID</t>
  </si>
  <si>
    <t>S526N 3/2 SOLENOID VALVE 3W 12</t>
  </si>
  <si>
    <t>S542N-2 3/2 SOLENOID VALVE 3W 12</t>
  </si>
  <si>
    <t>S542V 3/2 SOLENOID VALVE 3W 12</t>
  </si>
  <si>
    <t>S520HN-2 3/2 SOLENOID VALVE</t>
  </si>
  <si>
    <t>SV229-8-3-0-00 SOLENOID VALVE</t>
  </si>
  <si>
    <t>SV217-8-2P-0-00 2/2 BI DIRECTIONAL POPPE</t>
  </si>
  <si>
    <t>SV1-10-C-0-00</t>
  </si>
  <si>
    <t>SV3-10-C-0-00</t>
  </si>
  <si>
    <t>SV4-10-C-0-00</t>
  </si>
  <si>
    <t>SV1-16-C-0-00J</t>
  </si>
  <si>
    <t>SV2-20-C-0-00</t>
  </si>
  <si>
    <t>SV3-10-0-0-00</t>
  </si>
  <si>
    <t>SV4-10-0-0-00</t>
  </si>
  <si>
    <t>SV5-10-0-0-00</t>
  </si>
  <si>
    <t>SV3-16-0-0-00</t>
  </si>
  <si>
    <t>SV3-20-0-0-00</t>
  </si>
  <si>
    <t>SV1-10-3-0-00</t>
  </si>
  <si>
    <t>SV1-10-4-0-00</t>
  </si>
  <si>
    <t>SV2-10-4-0-00</t>
  </si>
  <si>
    <t>RV1-10-S-0-30/</t>
  </si>
  <si>
    <t>SV3-20-0-0-120AG</t>
  </si>
  <si>
    <t>SV4-10-3-0-00</t>
  </si>
  <si>
    <t>SV4-10-3M-0-00</t>
  </si>
  <si>
    <t>SV4-10V-C-0-24DGJ</t>
  </si>
  <si>
    <t>SV4-10-3-0-230AGJ</t>
  </si>
  <si>
    <t>SV4-10V-3-0-00</t>
  </si>
  <si>
    <t xml:space="preserve">SV3E-10-0-0-24DU  </t>
  </si>
  <si>
    <t>MCSC012DCE06</t>
  </si>
  <si>
    <t xml:space="preserve">24 VOLT COIL  </t>
  </si>
  <si>
    <t xml:space="preserve">20108A COIL 230VAS 10259 </t>
  </si>
  <si>
    <t>SV1-10-C-0F-00</t>
  </si>
  <si>
    <t>SV4-10-4-0-00</t>
  </si>
  <si>
    <t>SV5-10-4-0-00</t>
  </si>
  <si>
    <t>G1NU2000 DIN 43650-A  SUPPLY WITH CLIPS</t>
  </si>
  <si>
    <t>RECTIFIER PLUG  KA132R12B9</t>
  </si>
  <si>
    <t>C13A12/14</t>
  </si>
  <si>
    <t>C16A12/19</t>
  </si>
  <si>
    <t>C16A24/19</t>
  </si>
  <si>
    <t>C13A12/22</t>
  </si>
  <si>
    <t>C13A24/14</t>
  </si>
  <si>
    <t>C13A24/27</t>
  </si>
  <si>
    <t>C16A24/29</t>
  </si>
  <si>
    <t>S607NH12 SOLENOID AND COIL</t>
  </si>
  <si>
    <t>SV2-10-CR-0-00</t>
  </si>
  <si>
    <t>S570N 3/2 SOLENOID VALVE 3W 12</t>
  </si>
  <si>
    <t xml:space="preserve">S571N  </t>
  </si>
  <si>
    <t>S574N 4/3 SOLENOID AND COIL AS</t>
  </si>
  <si>
    <t>S577RN 4/3 SOLENOID AND COIL AS</t>
  </si>
  <si>
    <t>S201N SOLENOID VALVE</t>
  </si>
  <si>
    <t>S202N SOLENOID VALVE</t>
  </si>
  <si>
    <t>S202N-2 2/2 SOL/COIL MANUAL NC M</t>
  </si>
  <si>
    <t>S203N 2/2 SOL/COIL N/O POPPET</t>
  </si>
  <si>
    <t>S204N 2/2 SOL/COIL N/C POPPET</t>
  </si>
  <si>
    <t>S204N-5 2/2 SOL/COIL N/C MANUAL</t>
  </si>
  <si>
    <t>S205N 2/2 SOLENOID / COIL ASSE</t>
  </si>
  <si>
    <t>S210N 2/2 SOLENOID CART NO VIT</t>
  </si>
  <si>
    <t>S211N 2/2 SOLENOID CART NO VIT</t>
  </si>
  <si>
    <t>S217N               XPR 2/2 BI DIRECTIONAL POPPE</t>
  </si>
  <si>
    <t>S220HN 2/2 BI DIRECTIONAL POPPE</t>
  </si>
  <si>
    <t>S220N 2/2 BI DIRECTIONAL POPPE</t>
  </si>
  <si>
    <t>S220N-1 2/2 BI DIRECTIONAL POPPE</t>
  </si>
  <si>
    <t>S221HN 3/2 SOLENOID VALVE   12V</t>
  </si>
  <si>
    <t>S221N 3/2 SOLENOID VALVE</t>
  </si>
  <si>
    <t>S221N-2 3/2 SOLENOID VALVE   12V</t>
  </si>
  <si>
    <t>S222N 3/2 SOLENOID VALVE PACKA</t>
  </si>
  <si>
    <t>S242N TRI DIRECTIONAL SOLENOID</t>
  </si>
  <si>
    <t>S270N TRI DIRECTIONAL SOLENOID</t>
  </si>
  <si>
    <t>S270V 4/3 SOL/OP CARTRIDGE  M/</t>
  </si>
  <si>
    <t>S271N 4/3 SOL/OP CARTRIDGE  M/</t>
  </si>
  <si>
    <t>S271N-4 4/3 SOL/OP CARTRIDGE  M/</t>
  </si>
  <si>
    <t>S272N 4/3 SOLENOID VALVE 2</t>
  </si>
  <si>
    <t>S277N 4/3 SOLENOID VALVE 2</t>
  </si>
  <si>
    <t>S501N 2/2 SOLENOID VALVE</t>
  </si>
  <si>
    <t>S502N 2/2 SOL/OP CART NO</t>
  </si>
  <si>
    <t>S502N-2 2/2 SOL/OP CART NO</t>
  </si>
  <si>
    <t>S510N 2/2 SOLENOID VALVE 4W H2</t>
  </si>
  <si>
    <t>S511N 2/2 SOL/OP           N/C</t>
  </si>
  <si>
    <t>S607V 2/2 SOL CART NO  24VDC</t>
  </si>
  <si>
    <t>S608N SOLENOID VALVE</t>
  </si>
  <si>
    <t>S608V 2/2 SOL CART NO  24VDC</t>
  </si>
  <si>
    <t>S609N SOLENBOID VALVE</t>
  </si>
  <si>
    <t>S612N SOLENOID VALVE</t>
  </si>
  <si>
    <t>S613N SOLENOID VALVE</t>
  </si>
  <si>
    <t xml:space="preserve">S501N-2  </t>
  </si>
  <si>
    <t>S201N-2 2/2 SOL N.O. NITRILE M/O</t>
  </si>
  <si>
    <t>S201N-3 2/2 SOL N.O. NITRILE M/O</t>
  </si>
  <si>
    <t>S201V 2/2 SOL CART N.O. VITON</t>
  </si>
  <si>
    <t>S202N-1 2/2 SOL/OP NC</t>
  </si>
  <si>
    <t>S202V 2/2 SOL/COIL MANUAL NC M</t>
  </si>
  <si>
    <t>S204N-2 SOLENOID CARTRIDGE</t>
  </si>
  <si>
    <t>S204N-6-H12 2/2 SOLENOID VALVA M/O</t>
  </si>
  <si>
    <t>S204V-2 2/2 SOLENOID / COIL ASSE</t>
  </si>
  <si>
    <t>S210N-2 2/2 SOLENOID CART NO VIT</t>
  </si>
  <si>
    <t>S215N-1 2/2 SOLENOID CART NO VIT</t>
  </si>
  <si>
    <t>S217HN 2/2 BI DIRECTIONAL POPPE</t>
  </si>
  <si>
    <t>S217N-3 2/2 BI DIRECTIONAL POPPE</t>
  </si>
  <si>
    <t>S220N-2 2/2 BI DIRECTIONAL POPPE</t>
  </si>
  <si>
    <t>S221HN-2 3/2 SOLENOID VALVE</t>
  </si>
  <si>
    <t>S221N-1 3/2 SOLENOID VALVE   12V</t>
  </si>
  <si>
    <t>S221NH123W 3/2 SOLENOID VALVE H24vd</t>
  </si>
  <si>
    <t>S221NH242W 3/2 SOLENOID VALVE H24vd</t>
  </si>
  <si>
    <t>S221V 3/2 SOLENOID VALVE PACKA</t>
  </si>
  <si>
    <t>S222V 3/2 SOLENOID ASSEMBLY</t>
  </si>
  <si>
    <t>S242HN TRI DIRECTIONAL SOLENOID</t>
  </si>
  <si>
    <t>S242N-2 TRI DIRECTIONAL SOLENOID</t>
  </si>
  <si>
    <t>S242V TRI DIRECTIONAL SOLENOID</t>
  </si>
  <si>
    <t>S270N-4 4/3 SOLENOID OP MANUAL O</t>
  </si>
  <si>
    <t>S272N-4 4/3 SOLENOID VALVE 2</t>
  </si>
  <si>
    <t>S277N-4 4/3 SOLENOID VALVE 2</t>
  </si>
  <si>
    <t>S511HN 2/2 SOL/OP           N/C</t>
  </si>
  <si>
    <t>S570N-4 3/2 SOLENOID VALVE 3W 12</t>
  </si>
  <si>
    <t xml:space="preserve">S571N-4  </t>
  </si>
  <si>
    <t>S577RV 4/3 SOLENOID AND COIL AS</t>
  </si>
  <si>
    <t>S607N-3 2/2 SOLENOID COIL ASSEMB</t>
  </si>
  <si>
    <t>S612N-3 2/2 SOLENOID CART NO M/O</t>
  </si>
  <si>
    <t>S701V 2/2 SOL VALVE NC  24VDC</t>
  </si>
  <si>
    <t>S717N-2 2/2 SOLENOID COIL ASSEMB</t>
  </si>
  <si>
    <t>S203N-H12 2/2 SOL/COIL MANUAL NC M</t>
  </si>
  <si>
    <t>S203N-H24 2/2 SOL/COIL MANUAL NC M</t>
  </si>
  <si>
    <t>S220NH242W 3/2 SOLENOID VALVE   12V</t>
  </si>
  <si>
    <t>S220HN-1 3/2 SOL/OP VALVE</t>
  </si>
  <si>
    <t>SV2-10-C-0-00</t>
  </si>
  <si>
    <t>SV2-8-4-0-00</t>
  </si>
  <si>
    <t>SV12-10-C-0-00</t>
  </si>
  <si>
    <t>SV15-10-O-0-00</t>
  </si>
  <si>
    <t>SV15-8-CM-0-00</t>
  </si>
  <si>
    <t>SV11-8-4M-0-00</t>
  </si>
  <si>
    <t>SV13-10-OP-0-00</t>
  </si>
  <si>
    <t>SV13-10-OS-0-00</t>
  </si>
  <si>
    <t>SV13-12-OP-0-00</t>
  </si>
  <si>
    <t>SV13-12-0S-0-00</t>
  </si>
  <si>
    <t>SV13-16-OP-0-00</t>
  </si>
  <si>
    <t>SV13-16-CM-0-00</t>
  </si>
  <si>
    <t>SV13-20-C-M-0-00</t>
  </si>
  <si>
    <t>SV14-10-OM-0-00</t>
  </si>
  <si>
    <t>SV14-10-CM-0-00</t>
  </si>
  <si>
    <t>SV14-8-OM-0-00</t>
  </si>
  <si>
    <t>SV14-8-CM-0-00</t>
  </si>
  <si>
    <t>SV15-8-0P-0-00</t>
  </si>
  <si>
    <t>SV4-8V-3-0-00</t>
  </si>
  <si>
    <t>SV1-10-4M-0-00</t>
  </si>
  <si>
    <t>SV1-10-CM-0-00</t>
  </si>
  <si>
    <t>SV2-20-CM-0-00</t>
  </si>
  <si>
    <t>SV3-10-0S-0-00</t>
  </si>
  <si>
    <t>SV3-12-0P-0-00</t>
  </si>
  <si>
    <t>SV3-12-0S-0-00</t>
  </si>
  <si>
    <t>SV3-12-CM-0-00</t>
  </si>
  <si>
    <t>SV3-16-0S-0-00</t>
  </si>
  <si>
    <t>SV4-10-CM-0-00</t>
  </si>
  <si>
    <t>SV5-10-0P-0-00</t>
  </si>
  <si>
    <t>SV5-10-0S-0-00</t>
  </si>
  <si>
    <t>SV3-12-CR-0-00</t>
  </si>
  <si>
    <t>SV1-8-3M-0-00</t>
  </si>
  <si>
    <t>SV1-8-4M-0-00</t>
  </si>
  <si>
    <t>SV2-8-4M-0-00</t>
  </si>
  <si>
    <t>SV4-8-O-M-0-00</t>
  </si>
  <si>
    <t>SV5-8-OP-0-00</t>
  </si>
  <si>
    <t>SV5-8-OS-0-00</t>
  </si>
  <si>
    <t>SV5-8-CM-0-00</t>
  </si>
  <si>
    <t>SV3-12V-CM-0-00</t>
  </si>
  <si>
    <t>SBV11-8V-0-0-00</t>
  </si>
  <si>
    <t>SBV11-8-C-M-0-00</t>
  </si>
  <si>
    <t>SV3-10-CR-0F-00</t>
  </si>
  <si>
    <t>SV3-16V-0S-0-00</t>
  </si>
  <si>
    <t>SV98NE00000000000000</t>
  </si>
  <si>
    <t>SV98NFM000000000000</t>
  </si>
  <si>
    <t>SV910NFM0000000000000A</t>
  </si>
  <si>
    <t>SV910NB00000000000000A</t>
  </si>
  <si>
    <t>SBV11-60554</t>
  </si>
  <si>
    <t>SV4B-12-3P-0-00</t>
  </si>
  <si>
    <t xml:space="preserve">SV7B-12-4P-0-00     XPR  </t>
  </si>
  <si>
    <t>SV1B-12-3P-0-00</t>
  </si>
  <si>
    <t>SV2B-12-3P-0-00</t>
  </si>
  <si>
    <t>SV2B-12-4P-0-00</t>
  </si>
  <si>
    <t xml:space="preserve">SV3B-12-4P-0-00     XPR  </t>
  </si>
  <si>
    <t xml:space="preserve">SV5B-12-4P-0-00     XPR  </t>
  </si>
  <si>
    <t xml:space="preserve">SBV1-10-CM-0-00  </t>
  </si>
  <si>
    <t>MCSCJ220DG000010</t>
  </si>
  <si>
    <t>SV14A-12N-3P-0-00-00</t>
  </si>
  <si>
    <t>SV3-8-0-0-00</t>
  </si>
  <si>
    <t>SV15-8-CM-0-24DGP</t>
  </si>
  <si>
    <t>C13H110/27</t>
  </si>
  <si>
    <t>S203N-2 2/2 SOL/COIL MANUAL NO M</t>
  </si>
  <si>
    <t>S207V 2/2 SOL/OP CART NO EPR</t>
  </si>
  <si>
    <t>S521HN 3/2 SOL/OP</t>
  </si>
  <si>
    <t>S520N-2 2/2 SOL/OP 12V J/AMP N/O</t>
  </si>
  <si>
    <t>S608NH246W 2/2 SOL CART NO  24VDC</t>
  </si>
  <si>
    <t>S701N SOLENOID VALVE</t>
  </si>
  <si>
    <t>S702V 2/2 SOLENOID COIL ASSEMB</t>
  </si>
  <si>
    <t>S608NH244W SOLENOID VALVE</t>
  </si>
  <si>
    <t>SV9A10NE0000 SOLENOID VALVE</t>
  </si>
  <si>
    <t>SV9A-10-N-F-0-0-00 4PART 3WAY SOLENOID CART</t>
  </si>
  <si>
    <t>SV9A-10-N-E-M-0-00 SOLENOID CARTRIDGE</t>
  </si>
  <si>
    <t>SV9A-10-N-F-M-0-00 SOLENOID CARTRIDGE</t>
  </si>
  <si>
    <t>SV1-8-C-0-00</t>
  </si>
  <si>
    <t>SV3-10-4-0-00</t>
  </si>
  <si>
    <t>RECTIFIER PLUG  KA132R13B9</t>
  </si>
  <si>
    <t>INSPECTION CERT 3.1 (SPECIFIC INSPECTION)</t>
  </si>
  <si>
    <t>1T162W6S VENTABLE CARTRIDGE WITH</t>
  </si>
  <si>
    <t xml:space="preserve">FT 10 4H FINISHING TOOL  </t>
  </si>
  <si>
    <t>31326A MANIFOLD-</t>
  </si>
  <si>
    <t>31327A MANIFOLD-ASSY</t>
  </si>
  <si>
    <t>31470A MANIFOLD-ASSY-STEE</t>
  </si>
  <si>
    <t>31347A MANIFOLD ASSY.</t>
  </si>
  <si>
    <t>31371A MANIFOLD ASSY.STEEL</t>
  </si>
  <si>
    <t>20207AA8 MANIFOLD KB</t>
  </si>
  <si>
    <t xml:space="preserve">30211AA8 MANIFOLD  </t>
  </si>
  <si>
    <t>FT1-8-2-AS-8070</t>
  </si>
  <si>
    <t>FT-12-2-AS-8214</t>
  </si>
  <si>
    <t xml:space="preserve">FT 10 3 AS 8050  </t>
  </si>
  <si>
    <t xml:space="preserve">FT 10 2 AS 8048  </t>
  </si>
  <si>
    <t xml:space="preserve">RT-10-2-A-8030  </t>
  </si>
  <si>
    <t>FORM DRILL REF CAIVTY AXP16927</t>
  </si>
  <si>
    <t>PARALLEL SHANK FORM DRILL CAVITY AXP12336</t>
  </si>
  <si>
    <t>PARALLEL FORM REAMER FORSTEEL REF CAV AXP880</t>
  </si>
  <si>
    <t>PARALLEL SHANK REAMER REF CAVITY AXP12743</t>
  </si>
  <si>
    <t>FORM REAMER PARALLEL SHANK REF CAV AXP12336</t>
  </si>
  <si>
    <t>PARALLEL SHANK REAMER FOR ALLY RE CAV AXP877</t>
  </si>
  <si>
    <t>MORSE TAPER FORM DRILL REF CAV AXP19787/C-16-4</t>
  </si>
  <si>
    <t>MORSE TAPER FORM REAMER REF CAV AXP19787/C-16-4</t>
  </si>
  <si>
    <t>MORSE TAPER FORM DRILL REF CAV AXP20081</t>
  </si>
  <si>
    <t>MORSE TAPER FORM REAMER REF CAV AXP20081</t>
  </si>
  <si>
    <t>PARALLEL S F/DRILL STEELREF CAV AXP12744/C-10-4</t>
  </si>
  <si>
    <t>PARALLEL F/REAMER STEEL REF CAV AXP12744/C-10-4</t>
  </si>
  <si>
    <t>MORSE TAPER FORM DRILL REF CAV AXP20530</t>
  </si>
  <si>
    <t>MORSE TAPER FORM REAMER REF CAV AXP20530</t>
  </si>
  <si>
    <t>MORSE TAPER FORM DRILL REF CAV AXP21145</t>
  </si>
  <si>
    <t>MORSE TAPER F/REAMER REF CAV AXP21145</t>
  </si>
  <si>
    <t>MORSE TAPER FORM DRILL REF CAV AXP21473</t>
  </si>
  <si>
    <t>MORSE TAPER FORM REAMER REF CAV AXP21473</t>
  </si>
  <si>
    <t>MORSE TAPER FORM DRILL REF CAV AXP22903</t>
  </si>
  <si>
    <t>MORSE TAPER FORM REAMER REF CAV AXP22903</t>
  </si>
  <si>
    <t>MORSE TAPER SHANK DRILL REF CAV AXP22232</t>
  </si>
  <si>
    <t>MORSE TAPER FORM REAMER REF CAV C-16-3S</t>
  </si>
  <si>
    <t>PARALLEL SHANK FORM DRILL REF CAV AXP877</t>
  </si>
  <si>
    <t>PARALLEL SHANK FORM REAMER REF CAV AXP6726</t>
  </si>
  <si>
    <t>MORSE TAPER FORM DRILL REF CAV AXP893</t>
  </si>
  <si>
    <t>PARALLEL SHANK FORM DRILL REF CAV AXP22903</t>
  </si>
  <si>
    <t>PARALLEL SHANK FORM REAMER REF CAV AXP22903</t>
  </si>
  <si>
    <t>MORSE TAPER FORM DRILL CAVITY AXP6610</t>
  </si>
  <si>
    <t>MORSE TAPER FORM REAMER REF CAVITY AXP6610</t>
  </si>
  <si>
    <t>PARALLEL SHANK FORM DRILL REF CAV C-10-3S</t>
  </si>
  <si>
    <t>PARALLEL SHANK FORM REAMER CAVITY C-10-3S</t>
  </si>
  <si>
    <t>PARALLEL S F/REAMER FOR STEEL REF CAV C-10-3S</t>
  </si>
  <si>
    <t>PARALLEL S F/DRILL REF CAV AXP21773/C-20-3S</t>
  </si>
  <si>
    <t>PARALLEL S F/REAMER REF CAV AXP21773/C-20-3S</t>
  </si>
  <si>
    <t>PARALLEL SHANK FORM DRILL REF CAV C-16-3S</t>
  </si>
  <si>
    <t>PARALLEL SHANK FORM REAMER REF CAV C-16-3S</t>
  </si>
  <si>
    <t>PARALLEL SHANK FORM DRILL REF CAVITY C-8-2</t>
  </si>
  <si>
    <t>PARALLEL SHANK FORM REAMER REF CAVITY C-8-2</t>
  </si>
  <si>
    <t>PARALLEL SHANK FORM DRILL REF CAV C-12-3S</t>
  </si>
  <si>
    <t>PARALLEL SHANK FORM REAMER REF CAV C-12-3S</t>
  </si>
  <si>
    <t>PARALLEL SHANK FORM DRILL REF CAV C-8-3</t>
  </si>
  <si>
    <t>PARALLEL SHANK FORM REAMER REF CAV C-8-3</t>
  </si>
  <si>
    <t>MORSE TAPER FORM DRILL REF CAVITY AXP6701</t>
  </si>
  <si>
    <t>PARALLEL SHANK FORM DRILL REF CAV C-8-4</t>
  </si>
  <si>
    <t>PARALLEL SHANK FORM REAMER REF CAV C-8-4</t>
  </si>
  <si>
    <t>MORSE TAPER FORM REAMER REF CAVITY AXP6701</t>
  </si>
  <si>
    <t>MORSE TAPER FORM REAMER REF CAV AXP893</t>
  </si>
  <si>
    <t>PARALLEL SHANK FORM DRILL REF CAV AXP20530</t>
  </si>
  <si>
    <t>PARALLEL SHANK F/REAMER REF CAV AXP20530</t>
  </si>
  <si>
    <t>MORSE TAPER FORM DRILL REF CAV AXP6935</t>
  </si>
  <si>
    <t>MORSE TAPER FORM REAMER REF CAVITY AXP6935</t>
  </si>
  <si>
    <t>CAVITY AXP13098 FORM DRILL PARALLEL SHANK</t>
  </si>
  <si>
    <t>PARALLEL SHANK FORM REAMER REF CAVITY AXP879</t>
  </si>
  <si>
    <t>PARALLEL FORM REAMER FORALLY REF CAV AXP6610</t>
  </si>
  <si>
    <t>MORSE TAPER FORM REAMER REF CAV AXP881</t>
  </si>
  <si>
    <t>MORSE TAPER FORM DRILL REF CAV AXP879</t>
  </si>
  <si>
    <t>MORSE TAPER SHANK REAMERREF CAV AXP879</t>
  </si>
  <si>
    <t>MORSE TAPER FORM DRILL REF CAVITY AXP877</t>
  </si>
  <si>
    <t>MORSE TAPER FORM REAMER REF CAVITY AXP877</t>
  </si>
  <si>
    <t>MORSE TAPER FORM DRILL REF CAV AXP881</t>
  </si>
  <si>
    <t>MORSE TAPER FORM DRILL REF CAV AXP12336</t>
  </si>
  <si>
    <t>MORSE TAPER FORM REAMER REF CAV AXP12336</t>
  </si>
  <si>
    <t>MORSE TAPER FORM DRILL REF CAV AXP12370</t>
  </si>
  <si>
    <t>MORSE TAPER FORM REAMER REF CAV AXP12370</t>
  </si>
  <si>
    <t>MORSE TAPER FORM DRILL CAVITY C-10-3 &amp; AXP12743</t>
  </si>
  <si>
    <t>MORSE TAPER FORM REAMER CAVITY C-10-3 &amp; AXP12743</t>
  </si>
  <si>
    <t>MORSE TAPER FORM DRILL REF CAV AXP12744/C-10-4</t>
  </si>
  <si>
    <t>MORSE TAPER FORM REAMER REF CAV AXP12744/C-10-4</t>
  </si>
  <si>
    <t>MORSE TAPER FORM DRILL REF CAV AXP3145</t>
  </si>
  <si>
    <t>MORSE TAPER FORM REAMER REF CAV AXP3145</t>
  </si>
  <si>
    <t>MORSE TAPER FORM DRILL REF CAV AXP3146</t>
  </si>
  <si>
    <t>MORSE TAPER FORM REAMER REF CAV AXP3146</t>
  </si>
  <si>
    <t>CAVITY AXP3377 MORSE TAPER FORM REAMER</t>
  </si>
  <si>
    <t>AXP3974 FORM REAMER MORSE TAPER REF AXP3973</t>
  </si>
  <si>
    <t>AXP4130 FORM DRILL MORSETAPER REF CAVITY AXP3973</t>
  </si>
  <si>
    <t>FORM REAMER FOR CAVITY AXP5572 MORSE TAPER</t>
  </si>
  <si>
    <t>MORSE TAPER FORM DRILL REF CAV AXP5302</t>
  </si>
  <si>
    <t>MORSE TAPER FORM REAMER REF CAV AXP5302</t>
  </si>
  <si>
    <t>MORSE TAPER FORM DRILL REF CAV AXP6726</t>
  </si>
  <si>
    <t>MORSE TAPER FORM REAMER REF CAV AXP6726</t>
  </si>
  <si>
    <t>MORSE TAPER FORM DRILL REF AXP7447</t>
  </si>
  <si>
    <t>MORSE TAPER FORM REAMER REF CAV AXP7447</t>
  </si>
  <si>
    <t>FORM DRILL MORSE TAPER FOR CAVITY AXP7708</t>
  </si>
  <si>
    <t>FORM REAMER MORSE TAPER FOR CAVITY AXP7708</t>
  </si>
  <si>
    <t>MORSE TAPER FORM DRILL REF CAV CVA-20-01-0</t>
  </si>
  <si>
    <t>MORSE TAPER FORM REAMER REF CAV CVA-20-01-0</t>
  </si>
  <si>
    <t>MORSE TAPER FORM DRILL REF CAV CVA/CVB-22-06-0</t>
  </si>
  <si>
    <t>MORSE TAPER FORM REAMER REF CAV CVA/CVB-22-06-0</t>
  </si>
  <si>
    <t>AXP3066 3/8 PORT CUTTER MORSE TAPER SHANK</t>
  </si>
  <si>
    <t>AXP3066 1/2" PORT CUTTERMORSE TAPER</t>
  </si>
  <si>
    <t>BODY ALUM NFPA C-12-2</t>
  </si>
  <si>
    <t>BODY ALUM 1/4 BSP C-8-2</t>
  </si>
  <si>
    <t>BODY ALUM 3/8 BSP C-8-2</t>
  </si>
  <si>
    <t>31497A8 BODY 2WAY 8 SERIE</t>
  </si>
  <si>
    <t>31498A8 BODY 2WAY 8 SERIE</t>
  </si>
  <si>
    <t>BODY ALUM 1/4 BSP C-8-3</t>
  </si>
  <si>
    <t>BODY ALUM 3/8 BSP C-8-3</t>
  </si>
  <si>
    <t>31502A8 BODY 3WAY 8 SERIE</t>
  </si>
  <si>
    <t>BODY ALUM 1/4 BSP C-8-4</t>
  </si>
  <si>
    <t>BODY ALUM NFPA 3/8 BSP C-8-4</t>
  </si>
  <si>
    <t>BODY ALUM 1/2 BSP C-12-3S</t>
  </si>
  <si>
    <t>BODY ALUM 3/4 BSP C-12-3S</t>
  </si>
  <si>
    <t>BODY ALUM 3/4 BSP C-12-2U</t>
  </si>
  <si>
    <t>BODY ALUM 3/4 BSP C-12-2</t>
  </si>
  <si>
    <t>BODY ALUM 1/2 BSP C-12-2</t>
  </si>
  <si>
    <t>BODY ALUM 3/8 BSP C-12-3</t>
  </si>
  <si>
    <t>BODY ALUM 1/2 BSP C-12-3</t>
  </si>
  <si>
    <t>BODY ALUM 1/2-1/4 BSP C-10-3S 210 BAR</t>
  </si>
  <si>
    <t>31531A MANIFOLD ASSY</t>
  </si>
  <si>
    <t>BODY ALUM 31708A8 G 3/8 BSPP</t>
  </si>
  <si>
    <t>BODY ALUM 3/8 BSP C-10-2</t>
  </si>
  <si>
    <t>BODY ALUM 3/4 BSP C-16-2</t>
  </si>
  <si>
    <t>BODY ALUM 1 BSP C-20-2</t>
  </si>
  <si>
    <t>BODY ALUM 3/4 BSP C-16-3</t>
  </si>
  <si>
    <t>BODY ALUM 3/8 BSP C-10-4</t>
  </si>
  <si>
    <t>BODY ALUM 3/4 BSP C-16-4</t>
  </si>
  <si>
    <t>31822A8 C-10-3S 3B</t>
  </si>
  <si>
    <t>SRV-16-0-S-A8G-30/-24DGS</t>
  </si>
  <si>
    <t>2178269 BODY C-12-3S SAE1</t>
  </si>
  <si>
    <t>BODY ALUM 3/8 BSP C-12-3S</t>
  </si>
  <si>
    <t>BODY STEEL BSPP 1/2 FOR SRV-10</t>
  </si>
  <si>
    <t>HOUSING SRV-16 BSPP1</t>
  </si>
  <si>
    <t>BODY ALUM LIGHT DUTY 2179705 C-10-4</t>
  </si>
  <si>
    <t>HOUSING KIT A321A</t>
  </si>
  <si>
    <t>HOUSING KIT A321B</t>
  </si>
  <si>
    <t>HOUSING KIT A321P</t>
  </si>
  <si>
    <t>HOUSING KIT A321W</t>
  </si>
  <si>
    <t>HOUSING KIT A322P</t>
  </si>
  <si>
    <t>HOUSING KIT A324B</t>
  </si>
  <si>
    <t>HOUSING KIT A324P</t>
  </si>
  <si>
    <t>HOUSING KIT A324W</t>
  </si>
  <si>
    <t>HOUSING-KIT-A325P</t>
  </si>
  <si>
    <t>HOUSING KIT A326P</t>
  </si>
  <si>
    <t>HOUSING KIT A307A</t>
  </si>
  <si>
    <t>HOUSING KIT A309W</t>
  </si>
  <si>
    <t>HOUSING-KIT-A310A</t>
  </si>
  <si>
    <t>HOUSING-KIT-A310B</t>
  </si>
  <si>
    <t>HOUSING KIT A312W</t>
  </si>
  <si>
    <t>HOUSING KIT A313P</t>
  </si>
  <si>
    <t>HOUSING-KIT-A314A</t>
  </si>
  <si>
    <t>HOUSING-KIT-A314B</t>
  </si>
  <si>
    <t>HOUSING KIT A314W</t>
  </si>
  <si>
    <t>HOUSING-KIT-A315A</t>
  </si>
  <si>
    <t>HOUSING KIT A315B</t>
  </si>
  <si>
    <t>HOUSING KIT A316B</t>
  </si>
  <si>
    <t>HOUSING KIT A317T</t>
  </si>
  <si>
    <t>HOUSING-KIT-A318W</t>
  </si>
  <si>
    <t>HOUSING KIT A319P</t>
  </si>
  <si>
    <t>BODY ALUM 3/4 BSP C-10-2</t>
  </si>
  <si>
    <t>2185804 BODY,1/4 BSPP NFP</t>
  </si>
  <si>
    <t>1GR150-P6W-2S</t>
  </si>
  <si>
    <t xml:space="preserve">30697A8 C-16-2 A12H XPR  </t>
  </si>
  <si>
    <t xml:space="preserve">VALVE BODY=C-16-2-12T  </t>
  </si>
  <si>
    <t>20058AA8 VALVE BODY=8T KB</t>
  </si>
  <si>
    <t xml:space="preserve">20057A BODY 10 6T  </t>
  </si>
  <si>
    <t xml:space="preserve">BODY C-10-3  6T  </t>
  </si>
  <si>
    <t xml:space="preserve">20054AA8 VALVE BODY 4 10 </t>
  </si>
  <si>
    <t xml:space="preserve">20708A8 VALVE BODY  </t>
  </si>
  <si>
    <t>20822A8 VALVE BOD 20822A8</t>
  </si>
  <si>
    <t xml:space="preserve">30472A8 BODY=C-10  </t>
  </si>
  <si>
    <t>22723 3 WAY BLANK CARTRIDGE [C-10-3S PLUG]</t>
  </si>
  <si>
    <t xml:space="preserve">5986432-001 VALVE BODY  </t>
  </si>
  <si>
    <t xml:space="preserve">HOUSING KIT A323W A6610  </t>
  </si>
  <si>
    <t xml:space="preserve">23035A8 BODY, C-10  </t>
  </si>
  <si>
    <t>BODY, C-10-2 SAE8 NFPA 3000PSI</t>
  </si>
  <si>
    <t>23037A8 BODY C-10-2 1/4 210 BAR - DWG 23037</t>
  </si>
  <si>
    <t xml:space="preserve">23038A8 BODY C-10 KB  </t>
  </si>
  <si>
    <t>C 10 3 2G HSG NFPA 3000 RATED</t>
  </si>
  <si>
    <t>BODY C 10 4 1/4 BSPF NFPA 3000</t>
  </si>
  <si>
    <t>23115A8 BODY=C-10-3S 3/8210 BAR</t>
  </si>
  <si>
    <t xml:space="preserve">23111A8 BODY=C-10  </t>
  </si>
  <si>
    <t xml:space="preserve">23113A8 BODY=C-10-4 SAE  </t>
  </si>
  <si>
    <t>C-10-3-3/8 HSG NFPA 3000RATED</t>
  </si>
  <si>
    <t>BODY AL 3/8 BSP C-10-4 210 BAR</t>
  </si>
  <si>
    <t>BODY AL 1/2 BSP C-16-2 210 BAR</t>
  </si>
  <si>
    <t xml:space="preserve">30695A8 BODY=C-16  </t>
  </si>
  <si>
    <t xml:space="preserve">C 16 2 6G MFB H  </t>
  </si>
  <si>
    <t>30698A8 BODY=C-16-3 1/2 B</t>
  </si>
  <si>
    <t>30700A8 BODY C-16-3 3/4 BSPF NFPA 3000 PSI</t>
  </si>
  <si>
    <t>BODY AL 3/4 BSP C-16-3S 210 BAR</t>
  </si>
  <si>
    <t>BODY AL 3/4 BSP C-16-4 210 BAR</t>
  </si>
  <si>
    <t>BODY AL 1 BSP C-20-2 210 BAR</t>
  </si>
  <si>
    <t xml:space="preserve">30713A8 BODY=C-20-2 SAE  </t>
  </si>
  <si>
    <t>30720A8 BODY=C-20-3S 1 BS</t>
  </si>
  <si>
    <t>BODY 1DR/2CN/7S*/12C AL 3/8B</t>
  </si>
  <si>
    <t>BODY 12C21S/25S  ALUM 1/4BSP</t>
  </si>
  <si>
    <t>BODY 1AR65/2CR35 AL 3/8BSP</t>
  </si>
  <si>
    <t>BODY 1DR/2CN/7S*/12C AL 1/4B</t>
  </si>
  <si>
    <t xml:space="preserve">BODY ALUM 7SP25-6T  </t>
  </si>
  <si>
    <t>BODY 1SB15/1SH25 AL  3/8BSP</t>
  </si>
  <si>
    <t>BODY 12C21/25 ALUM 3/8BSP</t>
  </si>
  <si>
    <t>BODY 1AR65/2CR35 AL 1/2BSP</t>
  </si>
  <si>
    <t>S-ASSY 1CBE*6W*FN AL  3/4BSP</t>
  </si>
  <si>
    <t xml:space="preserve">SUB ASSY ALUM 1CBE*3W*37 </t>
  </si>
  <si>
    <t>S-ASSY 1CBE*3W*FN AL  3/8BSP</t>
  </si>
  <si>
    <t>RELIEF VALVE S-ASSY  G 1/2</t>
  </si>
  <si>
    <t>RELIEF VALVE S-ASSY  G 3/4</t>
  </si>
  <si>
    <t>AXP24049-8WS BODY 7VR250*8W ALUM</t>
  </si>
  <si>
    <t xml:space="preserve">SUB ASSY 1CEESHOMP35  </t>
  </si>
  <si>
    <t xml:space="preserve">SUB ASSY 1CEEOMS95  </t>
  </si>
  <si>
    <t xml:space="preserve">SUB ASSY 1CEESHOMS95  </t>
  </si>
  <si>
    <t>SUB ASSY 4W ALUM C/W  BOLT KIT</t>
  </si>
  <si>
    <t xml:space="preserve">SUB ASSY  1CLLROMS  </t>
  </si>
  <si>
    <t>BODY ALUM  3/8 SAE 1CE*/4CK35-6T</t>
  </si>
  <si>
    <t>BODY 1CE*/4CK350 ALUM  1-1/4SAE</t>
  </si>
  <si>
    <t>BODY 1CLLR/1LR150 ALUM 3/4BSP</t>
  </si>
  <si>
    <t>BODY 1CLLR/1LR150  ALUM 1BSP</t>
  </si>
  <si>
    <t>BODY ALUM  1 SAE 1CE*150/4CK125-16T</t>
  </si>
  <si>
    <t>BODY ALUM 1/2 SAE 2CFR*65*8T</t>
  </si>
  <si>
    <t>BODY 1DS/1PA/1*PS*  AL 6T SAE</t>
  </si>
  <si>
    <t>BODY ALUM  1/2 SAE 1PA/1PS65-8T</t>
  </si>
  <si>
    <t>BODY 2CFP65*4W ALUM 1/2BSP</t>
  </si>
  <si>
    <t>BODY 1PA/1PS65*3W  ALUM 3/8BSP</t>
  </si>
  <si>
    <t>BODY 1AR66*4W ALUM  1/2BSP</t>
  </si>
  <si>
    <t>BODY 1PAA65/1HSH25 ALUM    3/8BSP</t>
  </si>
  <si>
    <t>BODY 1PAA65/1HSH25 ALUM    1/2BSP</t>
  </si>
  <si>
    <t>BODY 1CE*/4CK36 ALUM  3/8BSP</t>
  </si>
  <si>
    <t>BODY 14C7*/14C4*/14C5* /1RDS35* 1/4BSP</t>
  </si>
  <si>
    <t>BODY ALUM  14 SERIES 4 /3  3/8BSP</t>
  </si>
  <si>
    <t>BODY 1CE*95*4W AL  1/2BSP</t>
  </si>
  <si>
    <t>BODY 1CE156-6W ALUM   3/4BSP</t>
  </si>
  <si>
    <t>BODY 1PD25/1RDS&amp;SB252  AL 3/8BSP</t>
  </si>
  <si>
    <t>BODY 1PD/1RDS&amp;1SB  ALUM 1/2BSP</t>
  </si>
  <si>
    <t xml:space="preserve">BODY 1DDR35-3W  </t>
  </si>
  <si>
    <t>BODY 1AR*/1GR155  ALUM 1BSP</t>
  </si>
  <si>
    <t>5 SER 3PT ALUM   119704 0</t>
  </si>
  <si>
    <t>BODY 5 SERIES 2 PORT 3/8BSP ALUM</t>
  </si>
  <si>
    <t xml:space="preserve">BODY ALUM 2CFD553W  </t>
  </si>
  <si>
    <t xml:space="preserve">BODY ALUM 2CFD554W3W  </t>
  </si>
  <si>
    <t>BODY 5 SERIES 4 PORT 1/2BSP ALUM</t>
  </si>
  <si>
    <t>BODY 5 SERIES 3 PORT 1/4BSP ALUM</t>
  </si>
  <si>
    <t>BODY 5 SERIES 4 PORT 3/8BSP ALUM</t>
  </si>
  <si>
    <t>BODY 5 SERIES 2 PORT 1/2BSP ALUM</t>
  </si>
  <si>
    <t>BODY 5 SERIES 3 PORT 1/2BSP ALUM</t>
  </si>
  <si>
    <t xml:space="preserve">BODY 1CEE/4CKK33 3W ALLY </t>
  </si>
  <si>
    <t>BODY 1CEL/1CER145 6W  3 /4BSP ALLUMINIUM</t>
  </si>
  <si>
    <t>BODY 1CEL/1CER145 8W  1 BSP   ALLUMINIUM</t>
  </si>
  <si>
    <t xml:space="preserve">BODY ALUM 2CFD55-4W-4W  </t>
  </si>
  <si>
    <t xml:space="preserve">BODY ALUM  3CA80 4W  </t>
  </si>
  <si>
    <t>BODY 1LR/1CLLR155 AL  3/4BSP</t>
  </si>
  <si>
    <t>BODY S7 SERIES 6W  ALUMINIUM</t>
  </si>
  <si>
    <t xml:space="preserve">BODY LER252 8W  </t>
  </si>
  <si>
    <t>BODY 1CE25 ALUM 3 /8BSP</t>
  </si>
  <si>
    <t>BODY 1CEE24 ALUM  3/8BSP</t>
  </si>
  <si>
    <t>BODY ALUM 1/2 SAE 1CEE*/4CKK34-8T</t>
  </si>
  <si>
    <t>BODY 1PA/PS/VR250 AL  1BSP</t>
  </si>
  <si>
    <t>BODY 1AR/1GR145/7SP75 /7SS75 AL 3/4BSP</t>
  </si>
  <si>
    <t>BODY 1PF55/1VR150*6W  AL 3/4BSP</t>
  </si>
  <si>
    <t>BODY 1DS/1PA/1*PS*  AL 1/2BSP</t>
  </si>
  <si>
    <t>BODY 1DS/1PA/1*PS*  AL 3/8BSP</t>
  </si>
  <si>
    <t>BODY 1AR/1GR145/7SS*75 *4W AL 1/2BSP</t>
  </si>
  <si>
    <t xml:space="preserve">BODY ALUM 1LR350-10W  </t>
  </si>
  <si>
    <t>BODY 1DS/1PA/1*PS*  AL 3/4BSP</t>
  </si>
  <si>
    <t>SERIES 12 BODY 3P ALUM  3/8BSP</t>
  </si>
  <si>
    <t>BODY 1CE*/4CK35 ALUM  3/8BSP</t>
  </si>
  <si>
    <t>BODY 1CE*/4CK350 ALUM  1-1/4BSP</t>
  </si>
  <si>
    <t xml:space="preserve">BODY 1CE30  </t>
  </si>
  <si>
    <t>BODY 1CE*/4CK ALUM  3/4BSP</t>
  </si>
  <si>
    <t>BODY 2CFR*65*4W ALUM  1/2BSP</t>
  </si>
  <si>
    <t>SERIES 12 BODY 4P ALUM  3/8BSP</t>
  </si>
  <si>
    <t>BODY 2CFD454W3W ALUM   1/2&amp;3/8BSP</t>
  </si>
  <si>
    <t>BODY 2CFD25010W8W ALUM  1-1/4 &amp; 1BSP</t>
  </si>
  <si>
    <t>SERIES 12 BODY 3P ALUM  1/4BSP</t>
  </si>
  <si>
    <t>BODY 1PA/1PS65*4W  ALUM    1/2BSP</t>
  </si>
  <si>
    <t>BODY 2CFD453W ALUM  3/8&amp;3/8BSP</t>
  </si>
  <si>
    <t>SUB ASSY 1CEG150  1CEBG150 4CKG150</t>
  </si>
  <si>
    <t>S-ASSY 1CEECSH95 ALUM  3/4BSP B15936-03</t>
  </si>
  <si>
    <t>S-ASSY 1CEECSH35 AL  3/8BSP</t>
  </si>
  <si>
    <t>S-ASSY 1CEEC35 ALUM 3 /8BSPB16247-01</t>
  </si>
  <si>
    <t xml:space="preserve">SUB-ASSY 6W ALUM  </t>
  </si>
  <si>
    <t>S-ASSY 1DDRC35  ALUM  3/8 BSP</t>
  </si>
  <si>
    <t>S-ASSY 1PAA95*4W ALUM    1/2BSP</t>
  </si>
  <si>
    <t xml:space="preserve">SUB ASSY  </t>
  </si>
  <si>
    <t>S-ASSY 1PDC25*3W ALUM    3/8BSP</t>
  </si>
  <si>
    <t>S-ASSY 1PUL250*8W  ALUM G 1</t>
  </si>
  <si>
    <t>1PS155/1DS155/UPS155 S-ASSY</t>
  </si>
  <si>
    <t>1PS155-6WS SUB ASSEMBLY  ALUMINIUM</t>
  </si>
  <si>
    <t xml:space="preserve">1PUL65-8TS S/A  </t>
  </si>
  <si>
    <t>1LLR350-10W DUAL RELIEF SUB-ASSY</t>
  </si>
  <si>
    <t xml:space="preserve">SUB ASSY 1CEEOMP35  </t>
  </si>
  <si>
    <t xml:space="preserve">BODY ALUM 1CE*SHOMS95-*  </t>
  </si>
  <si>
    <t>S-ASSY 1LLR150*8W  ALUM      1BSP</t>
  </si>
  <si>
    <t>UNLOADING VALVE PIL OP  SPOOL G1/2</t>
  </si>
  <si>
    <t>BODY 1CEE*/4CKK35  ALUM 3/8BSP</t>
  </si>
  <si>
    <t>CETOP 03 OVC/CHECK S -ASSY SLICE A/B</t>
  </si>
  <si>
    <t>CETOP 03 S-ASSY 03-AB -CE ALUM</t>
  </si>
  <si>
    <t>S-ASSY 05-A -CE/CK AL (1CE*/4CK90)</t>
  </si>
  <si>
    <t xml:space="preserve">S-ASSY 05-B -CE/CK AL  </t>
  </si>
  <si>
    <t>BODY 1*AR*/1GR/7S* AL    1/2BSP</t>
  </si>
  <si>
    <t>BODY 1*AR*/1GR/7S* AL    3/8BSP</t>
  </si>
  <si>
    <t>BODY 1*AR*/1GR/7S* AL    3/4BSP</t>
  </si>
  <si>
    <t>BODY 2CFD2508W6W AL  1&amp;3/4BSP</t>
  </si>
  <si>
    <t>BODY 2CFD2506W4W AL 3 /4&amp;1/2BSP</t>
  </si>
  <si>
    <t xml:space="preserve">BODY ALUM 1CEE95 4W  </t>
  </si>
  <si>
    <t xml:space="preserve">BODY ALUM 2CFD155  </t>
  </si>
  <si>
    <t>BODY 1CEEL/1CEER145 6W  3/4 BSP ALLY</t>
  </si>
  <si>
    <t>BODY 1CEEL/1CEER145 8W  1 BSP ALLY</t>
  </si>
  <si>
    <t>BODY 1CEE*/4CKK ALUM    3/4BSP</t>
  </si>
  <si>
    <t>BODY 1CEE*/4CKK350 ALUM  1-1/4BSP</t>
  </si>
  <si>
    <t>S-ASSY 1CEG350 ALUM 11 /4BSP</t>
  </si>
  <si>
    <t>S-ASSY 1LLRC75*6W  DUAL  RELIEF AL G3/4</t>
  </si>
  <si>
    <t>S-ASSY 1VRC250*8W  ALUM      1BSP</t>
  </si>
  <si>
    <t>S-ASSY 7SP300*8W ALUM      1BSP</t>
  </si>
  <si>
    <t>DXP16844-10WS OVERCENTRE VAL(DUAL) PIL</t>
  </si>
  <si>
    <t>HOUSING KIT A323A</t>
  </si>
  <si>
    <t>HOUSING-KIT-A323B</t>
  </si>
  <si>
    <t>HOUSING KIT A323W</t>
  </si>
  <si>
    <t>S-ASSY 1PAC65*4W ALUM    1/2BSP</t>
  </si>
  <si>
    <t>SK-8-2V</t>
  </si>
  <si>
    <t>SEAL KIT SK3-20-3S</t>
  </si>
  <si>
    <t>SEAL KIT SK3-10-3</t>
  </si>
  <si>
    <t>SK3-16-2</t>
  </si>
  <si>
    <t>SEAL KIT SK2-8-3</t>
  </si>
  <si>
    <t>SEAL KIT SK2-8-4</t>
  </si>
  <si>
    <t>SEAL KIT SK2-8-2</t>
  </si>
  <si>
    <t>23945 3-WAY CAVITY PLUG</t>
  </si>
  <si>
    <t>21008E8 KNOB=16S .250</t>
  </si>
  <si>
    <t>FT-12-3-AS-8244</t>
  </si>
  <si>
    <t>SK-1498</t>
  </si>
  <si>
    <t>SK-8-2</t>
  </si>
  <si>
    <t>SEAL KIT SK-8V-2 VITON</t>
  </si>
  <si>
    <t>SK3-12V-3</t>
  </si>
  <si>
    <t>SEAL KIT SK2-12V-3 12 SERIES</t>
  </si>
  <si>
    <t>SEAL KIT SK2-12V-2 VITON</t>
  </si>
  <si>
    <t>SEAL KIT  SK2-12-2</t>
  </si>
  <si>
    <t>22405P8 CAP NUT JD22405P8</t>
  </si>
  <si>
    <t>18201P8 JAM NUT</t>
  </si>
  <si>
    <t>FT-8-4-AS-8296</t>
  </si>
  <si>
    <t>24382 CAVITY PLUG 8VALV</t>
  </si>
  <si>
    <t>2C-8-3 CAVITY PLUG 24383 XPR</t>
  </si>
  <si>
    <t>24384 CAVITY PLUG 8 SERIVALV</t>
  </si>
  <si>
    <t>C-12-2 BLANKING PLUG</t>
  </si>
  <si>
    <t>24390 CAVITY PLUG 12 SERVALV</t>
  </si>
  <si>
    <t>24389 CAVITY PLUG 12 SERVALV</t>
  </si>
  <si>
    <t>SEAL KIT SK2-10-3S</t>
  </si>
  <si>
    <t>24592P8 NUT</t>
  </si>
  <si>
    <t>SEAL KIT SK2-12-3</t>
  </si>
  <si>
    <t>SPACER PLATE ASSY</t>
  </si>
  <si>
    <t>2186664 CAVITY PLUG</t>
  </si>
  <si>
    <t>2186730 SPACER&gt;SV9-8-E</t>
  </si>
  <si>
    <t xml:space="preserve">202914-921 SEAL KIT  </t>
  </si>
  <si>
    <t>MCSCJ012BJ000010</t>
  </si>
  <si>
    <t>MCSCJ028DG000010</t>
  </si>
  <si>
    <t>1VR100R20SV VENTALBLE RELIEF VALVE</t>
  </si>
  <si>
    <t xml:space="preserve">4995361-001 COIL NUT  </t>
  </si>
  <si>
    <t xml:space="preserve">BOLT KIT  </t>
  </si>
  <si>
    <t xml:space="preserve">20082 NUT  </t>
  </si>
  <si>
    <t xml:space="preserve">21042 NUT  </t>
  </si>
  <si>
    <t xml:space="preserve">21743 KNOB KIT  </t>
  </si>
  <si>
    <t xml:space="preserve">SK-10-2 SEAL KIT  </t>
  </si>
  <si>
    <t xml:space="preserve">SK 10 3 SEAL KIT  </t>
  </si>
  <si>
    <t xml:space="preserve">SK 10 4 SEAL KIT  </t>
  </si>
  <si>
    <t xml:space="preserve">SEAL KIT SK2-10-2  </t>
  </si>
  <si>
    <t xml:space="preserve">SK 16 2 SEAL KIT  </t>
  </si>
  <si>
    <t xml:space="preserve">SK 16 3 SEAL KIT  </t>
  </si>
  <si>
    <t xml:space="preserve">SK 16 3S  SEAL KIT  </t>
  </si>
  <si>
    <t xml:space="preserve">20601 C-10-2 PLUG   XPR  </t>
  </si>
  <si>
    <t xml:space="preserve">20602 C-10-3 PLUG   XPR  </t>
  </si>
  <si>
    <t xml:space="preserve">21025 BLANK PLUG  </t>
  </si>
  <si>
    <t xml:space="preserve">20145 SPRING=10 SERIES  </t>
  </si>
  <si>
    <t xml:space="preserve">SK2-10V-4  </t>
  </si>
  <si>
    <t xml:space="preserve">SK 10V 2 SEAL KIT  </t>
  </si>
  <si>
    <t xml:space="preserve">20603 BLANK CARTRIDGE  </t>
  </si>
  <si>
    <t xml:space="preserve">21027 PLUG  </t>
  </si>
  <si>
    <t xml:space="preserve">CAVITY PLUG C-16-3S  </t>
  </si>
  <si>
    <t xml:space="preserve">21316 C-20-2 PLUG   XPR  </t>
  </si>
  <si>
    <t xml:space="preserve">21317 3W CARTRIDGE PLUG  </t>
  </si>
  <si>
    <t xml:space="preserve">CAVITY PLUG C-20-3S  </t>
  </si>
  <si>
    <t xml:space="preserve">21821 ORIFICE DISC  </t>
  </si>
  <si>
    <t>HOUSING KIT A323A AXP6610 CAVITY</t>
  </si>
  <si>
    <t xml:space="preserve">20894 PULL KNOB=MPV-10 S </t>
  </si>
  <si>
    <t xml:space="preserve">21000 KNOB=10 SERIES  </t>
  </si>
  <si>
    <t xml:space="preserve">SK 10V 3  </t>
  </si>
  <si>
    <t xml:space="preserve">SK 16V 2  </t>
  </si>
  <si>
    <t xml:space="preserve">SK 20 2 SEAL KIT  </t>
  </si>
  <si>
    <t xml:space="preserve">SK-20V-2  </t>
  </si>
  <si>
    <t xml:space="preserve">SK2-10-3 SEAL KIT  </t>
  </si>
  <si>
    <t xml:space="preserve">SK2 10 4 SEAL KIT  </t>
  </si>
  <si>
    <t xml:space="preserve">SK2 10V 2  </t>
  </si>
  <si>
    <t xml:space="preserve">SK2 16 2 SEAL KIT  </t>
  </si>
  <si>
    <t xml:space="preserve">SK2-16-4 SEAL KIT  </t>
  </si>
  <si>
    <t xml:space="preserve">SK2-16V-3  </t>
  </si>
  <si>
    <t xml:space="preserve">SK2 20 2  </t>
  </si>
  <si>
    <t xml:space="preserve">SK3 10 3S SEAL KIT  </t>
  </si>
  <si>
    <t xml:space="preserve">SK3-10V-3S  </t>
  </si>
  <si>
    <t xml:space="preserve">SK3 16 3S SEAL KIT  </t>
  </si>
  <si>
    <t xml:space="preserve">CV3-4 VITON SEAL KIT  </t>
  </si>
  <si>
    <t>COLD STATR VALVE ADAPTORKIT</t>
  </si>
  <si>
    <t>LEAKPROOF SCREW ADJ 2FP /2FB/2FR/2FBA95</t>
  </si>
  <si>
    <t>LEAKPROOF SCREW ADJ 2FP /2FR/2FB/2FPH55</t>
  </si>
  <si>
    <t>LEAKPROOF SCREW ADJ 2FR /2FP/2FR25</t>
  </si>
  <si>
    <t>LEAKPROOF SCREW ADJUST  ASSY</t>
  </si>
  <si>
    <t xml:space="preserve">LEAKPROOF SCREW ADJUST  </t>
  </si>
  <si>
    <t xml:space="preserve">L ADJUST CART SUB ASSY  </t>
  </si>
  <si>
    <t>L ADJUST HANDLE BRASS  LABEL}</t>
  </si>
  <si>
    <t>972910000100 GARDENA CAPYELLOW</t>
  </si>
  <si>
    <t xml:space="preserve">SEAL KIT 1EE45  </t>
  </si>
  <si>
    <t xml:space="preserve">SEAL KIT 1EE45 VITON  </t>
  </si>
  <si>
    <t xml:space="preserve">SEAL KIT S400-419  </t>
  </si>
  <si>
    <t xml:space="preserve">SEAL KIT S500-519  </t>
  </si>
  <si>
    <t>SEAL KIT FOR S500 TO S519 VITON</t>
  </si>
  <si>
    <t xml:space="preserve">SEAL KIT S520 - S539  </t>
  </si>
  <si>
    <t>SEAL KIT S440 - S449 &amp;  S540 - S569</t>
  </si>
  <si>
    <t>SEAL KIT S470 - S499 &amp;  S570 - S599</t>
  </si>
  <si>
    <t>SOL S200 TO S209  3128  2090 42</t>
  </si>
  <si>
    <t>SOL S200 TO S209  3128  2090 42 VITON</t>
  </si>
  <si>
    <t xml:space="preserve">SEAL KIT 4KD25  </t>
  </si>
  <si>
    <t xml:space="preserve">SEAL KIT 2CFD50  </t>
  </si>
  <si>
    <t>SEAL KIT FOR SUN CAVITY T-11A</t>
  </si>
  <si>
    <t>VITON SEAT KIT FOR SUN CAVITY T-11A</t>
  </si>
  <si>
    <t>SEAL KIT 1SEB90   (NITRILE)</t>
  </si>
  <si>
    <t xml:space="preserve">SEAL KIT 2CFD150  </t>
  </si>
  <si>
    <t>SEAL KIT 1CE140   (NITRILE)</t>
  </si>
  <si>
    <t>SEAL KIT PPD22AV6 (VITON)</t>
  </si>
  <si>
    <t xml:space="preserve">SEAL KIT  PFR24  </t>
  </si>
  <si>
    <t xml:space="preserve">SEAL KIT 3CA50  </t>
  </si>
  <si>
    <t xml:space="preserve">SEAL KIT FOR 3CA50  </t>
  </si>
  <si>
    <t>SEAL KIT 1CPB30   (POLYURETHANE)</t>
  </si>
  <si>
    <t>SEAL KIT S2 - 1/2 NOSE  - 16mm TUBE</t>
  </si>
  <si>
    <t xml:space="preserve">SEAL KIT AXP7708  </t>
  </si>
  <si>
    <t>SEAL KIT FOR 1CEBD30, 1CPBD30 CARTS.</t>
  </si>
  <si>
    <t>POLY SEAL KIT FOR 1CEBD30, 1CPBD30 CARTS</t>
  </si>
  <si>
    <t>SEAL KIT S9 -2 PORT IN  C-16-2</t>
  </si>
  <si>
    <t xml:space="preserve">SEAL KIT FOR 1CEBL356  </t>
  </si>
  <si>
    <t xml:space="preserve">SEAL KIT FOR 1CEBL256  </t>
  </si>
  <si>
    <t xml:space="preserve">SEAL KIT FOR 1CEBL556  </t>
  </si>
  <si>
    <t xml:space="preserve">SEAL KIT FOR 1CEBL31  </t>
  </si>
  <si>
    <t xml:space="preserve">SEAL KIT 7W30  </t>
  </si>
  <si>
    <t>SEAL KIT FOR 1HSH701 -  VITON</t>
  </si>
  <si>
    <t>SEAL KIT FOR S7*** DIA13 TUBE - 2 PORT</t>
  </si>
  <si>
    <t xml:space="preserve">SEAL KIT 1RDS902  </t>
  </si>
  <si>
    <t xml:space="preserve">SEAL KIT FOR LER202  </t>
  </si>
  <si>
    <t>SEAL KIT FOR 1CE20 NITRILE VERSION</t>
  </si>
  <si>
    <t>SEAL KIT FOR 1CE20 VITON VERSION</t>
  </si>
  <si>
    <t xml:space="preserve">SEAL KIT FOR 2FB25/55  </t>
  </si>
  <si>
    <t xml:space="preserve">SEAL KIT 1E295 (6:1)  </t>
  </si>
  <si>
    <t>SEAL KIT 1LLR46/75   (NITRILE)</t>
  </si>
  <si>
    <t>SEAL KIT FOR 1ARD100 (NITRILE)</t>
  </si>
  <si>
    <t>SEAL KIT 1E45   (NITRILE)</t>
  </si>
  <si>
    <t>SEAL KIT 4CK70   (NITRILE)</t>
  </si>
  <si>
    <t>SEAL KIT 1AR/ARC/ARP /UAR100 (NITR)</t>
  </si>
  <si>
    <t>SEAL KIT 1AR/ARC/ARP /UAR100(VITON)</t>
  </si>
  <si>
    <t>SEAL KIT 1LR100   (NITRILE)</t>
  </si>
  <si>
    <t>SEAL KIT 1LR100   (VITON)</t>
  </si>
  <si>
    <t>SEAL KIT 1PA/PS/PUL /VR200(NITRILE)</t>
  </si>
  <si>
    <t>SEAL KIT FOR CAVITY AXP16102 PTFE BACK UPS</t>
  </si>
  <si>
    <t>SEAL KIT 1PA/PS/PUL /VR200  (VITON)</t>
  </si>
  <si>
    <t>SEAL KIT 1E15 (1E95)      (NITR)</t>
  </si>
  <si>
    <t>SEAL KIT 1DS/PA/PS /UPS100 (NITR)</t>
  </si>
  <si>
    <t>SEAL KIT 1DS/PA/PS /UPS100(VITON)</t>
  </si>
  <si>
    <t xml:space="preserve">SEAL KIT  </t>
  </si>
  <si>
    <t>SEAL KIT 1SB10/1SH20   (NITRILE)</t>
  </si>
  <si>
    <t xml:space="preserve">SEAL KIT A879  </t>
  </si>
  <si>
    <t xml:space="preserve">SEAL KIT 1DR2-VITON  </t>
  </si>
  <si>
    <t>SEAL KIT CAVITY A879  NITRILE</t>
  </si>
  <si>
    <t>SEAL KIT CAVITY A879  VITON</t>
  </si>
  <si>
    <t>VITON SEAL KIT FOR 2FR25/2FR55</t>
  </si>
  <si>
    <t>SEAL KIT 1GR30/1GR100   (NITRILE)</t>
  </si>
  <si>
    <t>SEAL KIT 2FP25/2FP55   (NITRILE)</t>
  </si>
  <si>
    <t>SEAL KIT 1PAA95   (NITRILE)</t>
  </si>
  <si>
    <t>SEAL KIT 2FR95   (VITON)</t>
  </si>
  <si>
    <t>SEAL KIT 1LR300   NITRILE)</t>
  </si>
  <si>
    <t>SEAL KIT 3CA80/4K82   (NITRILE)</t>
  </si>
  <si>
    <t>SEAL KIT 1PD22  NITRILE</t>
  </si>
  <si>
    <t>SEAL KIT 1DR30  NITRILE</t>
  </si>
  <si>
    <t xml:space="preserve">SEAL KIT 1DR30 VITON  </t>
  </si>
  <si>
    <t xml:space="preserve">SEAL KIT 2FPH195  </t>
  </si>
  <si>
    <t>SEAL KIT 1VR100   (NITRILE)</t>
  </si>
  <si>
    <t>SEAL KIT 1VR100   (VITON)</t>
  </si>
  <si>
    <t>SEAL KIT 3IC90   (NITRILE)</t>
  </si>
  <si>
    <t xml:space="preserve">SEAL KIT 1LR76  </t>
  </si>
  <si>
    <t>SEAL KIT 1EE95   (NITRILE)</t>
  </si>
  <si>
    <t>HANDKNOB KIT 3/8-40UNS   (PLASTIC)</t>
  </si>
  <si>
    <t>HANDKNOB KIT M10x1   (PLASTIC)</t>
  </si>
  <si>
    <t>HANDKNOB KIT 3/8-40UNS     (BRASS)</t>
  </si>
  <si>
    <t xml:space="preserve">BRASS HANDWHEEL M10  </t>
  </si>
  <si>
    <t>SEAL KIT 2R*/2N*   (NITRILE)</t>
  </si>
  <si>
    <t>SEAL KIT 1EEC95   (NITRILE)</t>
  </si>
  <si>
    <t>SEAL KIT 1PD20   (NITRILE)</t>
  </si>
  <si>
    <t>SEAL KIT 1PD20   (VITON)</t>
  </si>
  <si>
    <t>SEAL KIT 1CE50   (NITRILE) F ADJ</t>
  </si>
  <si>
    <t>SEAL KIT FOR 1PAAG95  (NITRILE)</t>
  </si>
  <si>
    <t>SEAL KIT FOR 2FB25 / 2FB55</t>
  </si>
  <si>
    <t xml:space="preserve">SEAL KIT S207VNF-VITON  </t>
  </si>
  <si>
    <t>SEAL KIT 12C31&amp;32S /12C34&amp;35S(NITR)</t>
  </si>
  <si>
    <t>SEAL KIT 4CK120   (NITRILE)</t>
  </si>
  <si>
    <t>SEAL KIT FOR 4CK120 VITON</t>
  </si>
  <si>
    <t>SEAL KIT S6**N   (NITRILE)</t>
  </si>
  <si>
    <t>SEAL KIT S6***/7S***   (POLLY)</t>
  </si>
  <si>
    <t>SEAL KIT S6***/7S***   (VITON)</t>
  </si>
  <si>
    <t xml:space="preserve">SEAL KIT S6***/7S***  </t>
  </si>
  <si>
    <t>SEAL KIT 1CE/1CEB /1CER30 (NITRILE)</t>
  </si>
  <si>
    <t>SEAL KIT 1CE/1CEB /1CER30 (POLYURETHANE)</t>
  </si>
  <si>
    <t>SEAL KIT 1CE/1CEB /1CER30 (VITON)</t>
  </si>
  <si>
    <t>SEAL KIT 3CA20  NITRILE</t>
  </si>
  <si>
    <t xml:space="preserve">VITON SEAL KIT FOR 3CA20 </t>
  </si>
  <si>
    <t>SEAL KIT 7VR150**   (NITRILE)</t>
  </si>
  <si>
    <t>SEAL KIT 7VR250   (NITRILE)</t>
  </si>
  <si>
    <t>SEAL KIT 1CE100/1CEB120   (NITRILE)</t>
  </si>
  <si>
    <t>SEAL KIT 1CE100/1CEB120  (POLYEURETHANE)</t>
  </si>
  <si>
    <t>SEAL KIT 1CE100/1CEB120     (VITON)</t>
  </si>
  <si>
    <t>SEAL KIT 4CK30   (NITRILE)</t>
  </si>
  <si>
    <t>SEAL KIT 4CK30   (POLY-URETHANE)</t>
  </si>
  <si>
    <t>SEAL KIT 4CK30   (VITON)</t>
  </si>
  <si>
    <t>SEAL KIT 1CE300   (NITRILE)</t>
  </si>
  <si>
    <t>SEAL KIT 1CE300   (VITON)</t>
  </si>
  <si>
    <t>SEAL KIT 2CN20   (NITRILE)</t>
  </si>
  <si>
    <t xml:space="preserve">SEAL KIT FOR 2CN20 VITON </t>
  </si>
  <si>
    <t>SEAL KIT 1UL60   (NITRILE)</t>
  </si>
  <si>
    <t>SEAL KIT 1UL60   (VITON)</t>
  </si>
  <si>
    <t>SEAL KIT FOR 1PUL150 VITON</t>
  </si>
  <si>
    <t xml:space="preserve">SEAL KIT 1PD23  </t>
  </si>
  <si>
    <t>SEAL KIT FOR 2CFD40/2CFDX40</t>
  </si>
  <si>
    <t xml:space="preserve">SEAL KIT 1CEX12483-**  </t>
  </si>
  <si>
    <t>SEAL KIT 2CFRC60   (NITRILE)</t>
  </si>
  <si>
    <t xml:space="preserve">SEAL KIT VITON 2CFRC60  </t>
  </si>
  <si>
    <t>SEAL KIT 2CFP60 (NITRILE)</t>
  </si>
  <si>
    <t xml:space="preserve">SEAL KIT 2CFP60 VITON  </t>
  </si>
  <si>
    <t xml:space="preserve">SEAL KIT 1CEBD120  </t>
  </si>
  <si>
    <t xml:space="preserve">SEAL KIT 2CFD200  </t>
  </si>
  <si>
    <t>SEAL KIT 2CFD200 (VITON)</t>
  </si>
  <si>
    <t xml:space="preserve">SEAL KIT 1AR60  </t>
  </si>
  <si>
    <t xml:space="preserve">SEAL KIT 1AR60 (VITON)  </t>
  </si>
  <si>
    <t xml:space="preserve">SEAL KIT 1CLLR100  </t>
  </si>
  <si>
    <t>SEAL KIT 1DDRC35  NITRILE</t>
  </si>
  <si>
    <t>SEAL KIT 1VRC250   (VITON)</t>
  </si>
  <si>
    <t>SEAL KIT 1PA60/1PS60   (NITRILE)</t>
  </si>
  <si>
    <t>SEAL KIT 1PA60/1PS60   (VITON)</t>
  </si>
  <si>
    <t xml:space="preserve">SEAL KIT 1PAA60  </t>
  </si>
  <si>
    <t>SEAL KIT 1CE90/1CER90   (NITRILE)</t>
  </si>
  <si>
    <t>SEAL KIT 1CE90/1CER90   (VITON)</t>
  </si>
  <si>
    <t>SEAL KIT 1CEB90/1CEBD90   (NITRILE)</t>
  </si>
  <si>
    <t>SEAL KIT 1CEB90/1CEBD90   (POLY)</t>
  </si>
  <si>
    <t>SEAL KIT 1RDS302 /1RDS303 (NITRILE)</t>
  </si>
  <si>
    <t xml:space="preserve">SEAL KIT FOR 1RDS302  </t>
  </si>
  <si>
    <t xml:space="preserve">SEAL KIT 1DR50  </t>
  </si>
  <si>
    <t xml:space="preserve">SEAL KIT 2FB95  </t>
  </si>
  <si>
    <t>SK661V SEAL KIT</t>
  </si>
  <si>
    <t>SEAL KIT 1PUL200 UNLOAD  CARTRIDGE</t>
  </si>
  <si>
    <t>SEAL KIT 1PUL200 UNLOAD  CARTRIDGE VITON</t>
  </si>
  <si>
    <t>SEAL KIT 4CK300   (NITRILE)</t>
  </si>
  <si>
    <t>SEAL KIT 4CK300   (VITON)</t>
  </si>
  <si>
    <t>SEAL KIT 1CEB300   (NITRILE)</t>
  </si>
  <si>
    <t xml:space="preserve">SEAL KIT FOR 1CEB300  </t>
  </si>
  <si>
    <t xml:space="preserve">SEAL KIT 2CR30  </t>
  </si>
  <si>
    <t xml:space="preserve">SEAL KIT 14C25S  </t>
  </si>
  <si>
    <t xml:space="preserve">SEAL KIT 7SN01-1 -2  </t>
  </si>
  <si>
    <t xml:space="preserve">SEAL KIT 1CEX13864  </t>
  </si>
  <si>
    <t>SEAL KIT 1PUL60   (NITRILE)</t>
  </si>
  <si>
    <t xml:space="preserve">SEAL KIT 1CEEC95  </t>
  </si>
  <si>
    <t xml:space="preserve">SEAL KIT FOR 1CEEC35  </t>
  </si>
  <si>
    <t xml:space="preserve">SEAL KIT FOR 5CK30  </t>
  </si>
  <si>
    <t>SEAL KIT FOR 1CEBD120 /1CPBD120NITRILEL</t>
  </si>
  <si>
    <t>SEAL KIT FOR 1CEBD120 /1CPBD120POLY</t>
  </si>
  <si>
    <t>SEAL KIT FOR 1CEBD120 /1CPBD120VITON</t>
  </si>
  <si>
    <t>SEAL KIT 4CK90   (NITRILE)</t>
  </si>
  <si>
    <t xml:space="preserve">SEAL KIT FOR 4CK90  </t>
  </si>
  <si>
    <t>SEAL KIT 5CK120   (NITRILE)</t>
  </si>
  <si>
    <t>SEAL KIT FOR 5CK120 VITON</t>
  </si>
  <si>
    <t>SEAL KIT 5CK300   (VITON)</t>
  </si>
  <si>
    <t>SEAL KIT 2DF250   (NITRILE)</t>
  </si>
  <si>
    <t>SEAL KIT FOR PK914/PK915/PK916</t>
  </si>
  <si>
    <t>SEAL KIT 1CEBL251   (NITRILE)</t>
  </si>
  <si>
    <t xml:space="preserve">SEAL KIT FOR 1CEBL151  </t>
  </si>
  <si>
    <t xml:space="preserve">SEAL KIT 1CPBD300  </t>
  </si>
  <si>
    <t>SEAL KIT FOR 1CPBD300 POLY VERSION</t>
  </si>
  <si>
    <t xml:space="preserve">SEAL KIT S220-S239  </t>
  </si>
  <si>
    <t xml:space="preserve">SEAL KIT S240-S277  </t>
  </si>
  <si>
    <t>SEAL KIT S240V-S277V (VITON)</t>
  </si>
  <si>
    <t xml:space="preserve">SEAL KIT S222N  </t>
  </si>
  <si>
    <t xml:space="preserve">SEAL KIT S222V  </t>
  </si>
  <si>
    <t xml:space="preserve">SEAL KIT S270 TO S299  </t>
  </si>
  <si>
    <t>SEAL KIT 4CKD90    (NITRILE)</t>
  </si>
  <si>
    <t xml:space="preserve">SEAL KIT 1CEBD120P8  </t>
  </si>
  <si>
    <t xml:space="preserve">SEAL KIT 1CPBD120P22VY  </t>
  </si>
  <si>
    <t>CG5V-6GK-D-VM-U-H7-11</t>
  </si>
  <si>
    <t>CG5V-8CW-D-M-U-D6-11</t>
  </si>
  <si>
    <t>CG5V 8FW D M U NN6 11</t>
  </si>
  <si>
    <t>CG5V 8BW D VM U H7 11</t>
  </si>
  <si>
    <t>CG5V-6CW-D-VM-U-B6-11</t>
  </si>
  <si>
    <t>CG5V-6GM-D-M-U-C6-11</t>
  </si>
  <si>
    <t>CG5V-6GM-D-M-U-H7-11</t>
  </si>
  <si>
    <t>CG5V-6CK-D-M-U-H7-11</t>
  </si>
  <si>
    <t>CG5V-8FW-D-VM-U-H7-11</t>
  </si>
  <si>
    <t>ECT5 10CV 0B M U B6 21TB</t>
  </si>
  <si>
    <t>CG5V 8GK D M U H7 11</t>
  </si>
  <si>
    <t>CG5V-6GW-D-VM-U-C6-11</t>
  </si>
  <si>
    <t>CG5V-8GM-D-M-U-C6-11</t>
  </si>
  <si>
    <t>CG5V-6FW-D-P2-VM-U-A6-11</t>
  </si>
  <si>
    <t>KCG-6-W100-1-Z-M-U-H1-10</t>
  </si>
  <si>
    <t>KCG-6-W160-1-Z-M-U-H1-10</t>
  </si>
  <si>
    <t>KCG-6-W250-1-Z-M-U-H1-10</t>
  </si>
  <si>
    <t>KCG-6-W350-1-Z-M-U-H1-10</t>
  </si>
  <si>
    <t>KCG-8-W250-1-Z-M-U-H1-10</t>
  </si>
  <si>
    <t>KCG-8-W350-1-Z-M-U-H1-10</t>
  </si>
  <si>
    <t>KCG-6-W250-3-Z-M-U-H1-10</t>
  </si>
  <si>
    <t>KCG-6-W350-3-Z-M-U-H1-10</t>
  </si>
  <si>
    <t>KCG-8-W160-3-Z-M-U-H1-10</t>
  </si>
  <si>
    <t>KCG-8-W250-3-Z-M-U-H1-10</t>
  </si>
  <si>
    <t>KCG-8-W350-3-Z-M-U-H1-10</t>
  </si>
  <si>
    <t>CG5V-8GW-D-M-U-B6-11</t>
  </si>
  <si>
    <t>CG5V-6GW-D-M-U-D6-11</t>
  </si>
  <si>
    <t>KCG-6-W250-3-Z-M-U-HL1-10</t>
  </si>
  <si>
    <t>KCG-6-W250-1-Z-M-U-HL1-10</t>
  </si>
  <si>
    <t>KCG-6-W350-1-Z-M-U-HL1-10</t>
  </si>
  <si>
    <t>KCG-6-W350-3-Z-M-U-HL1-10</t>
  </si>
  <si>
    <t>KCG-8-W250-1-Z-M-U-HL1-10</t>
  </si>
  <si>
    <t>KCG-8-W250-3-Z-M-U-HL1-10</t>
  </si>
  <si>
    <t>KCG-8-W350-3-Z-M-U-HL1-10</t>
  </si>
  <si>
    <t>KCG-6-W350-Z-M-U-HL1-10</t>
  </si>
  <si>
    <t>CG5V-8FW-D-VM-U-A6-11</t>
  </si>
  <si>
    <t>KCG-8-W350-Z-M-U-H1-10</t>
  </si>
  <si>
    <t>KCG-6-W100-Z-M-U1-H1-10</t>
  </si>
  <si>
    <t>KCG-6-W250-Z-M-U1-H1-10</t>
  </si>
  <si>
    <t>CG5V-6GW-D-M-U-G7-11</t>
  </si>
  <si>
    <t>KCG-6-W350-Z-M-U-H1-10</t>
  </si>
  <si>
    <t>KCG-6-W250-Z-M-U-H1-10</t>
  </si>
  <si>
    <t>KCG-8-W250-Z-M-U-H1-10</t>
  </si>
  <si>
    <t>CG5V-6GW-D-H-VM-U-H7-11</t>
  </si>
  <si>
    <t>CG5V-6FW-D-M-U-KK6-11</t>
  </si>
  <si>
    <t>CG5V-6FK-D-M-U-H7-11</t>
  </si>
  <si>
    <t>CG5V-6FW-D-VM-U-B6-11</t>
  </si>
  <si>
    <t>CG5V-8GW-D-M-U-D6-11</t>
  </si>
  <si>
    <t>KBCG-6-W160-Z-M1-3-A-PE7-H1-10</t>
  </si>
  <si>
    <t>KBCG-6-W250-1-Z-M1-3-A-PE7-H1-10</t>
  </si>
  <si>
    <t>KBCG-6-W250-Z-M1-3-A-PE7-H1-10</t>
  </si>
  <si>
    <t>KBCG-6-W350-1-Z-M1-3-A-PE7-H1-10</t>
  </si>
  <si>
    <t>KBCG-6-W350-3-Z-M1-3-A-PE7-H1-10</t>
  </si>
  <si>
    <t>KBCG-6-W350-Z-M1-3-A-PE7-H1-10</t>
  </si>
  <si>
    <t>KBCG-8-W160-1-Z-M1-3-A-PE7-H1-10</t>
  </si>
  <si>
    <t>KBCG-8-W350-1-Z-M1-3-A-PE7-H1-10</t>
  </si>
  <si>
    <t>KBCG-8-W350-Z-M1-3-A-PE7-H1-10</t>
  </si>
  <si>
    <t>CG5V-8FW-D-M-U-HL7-11</t>
  </si>
  <si>
    <t>KCG-8-W100-Z-M-U-H1-10</t>
  </si>
  <si>
    <t>CG5V-8BW-D-M-U-P7-11</t>
  </si>
  <si>
    <t>CG5V-8GW-E-M-U-H7-11</t>
  </si>
  <si>
    <t>KBCG-6-W250-Z-M2-3-A-PE7-H1-10</t>
  </si>
  <si>
    <t>KBCG-6-W250-1-Z-M2-3-A-PE7-H1-10</t>
  </si>
  <si>
    <t>CG2V-10FW-B-10</t>
  </si>
  <si>
    <t>CG2V-10HW-B-10</t>
  </si>
  <si>
    <t>CG2V-10FW-B-Y-10</t>
  </si>
  <si>
    <t>CG5V-10GW-B-2-M-U-H7-10</t>
  </si>
  <si>
    <t>CG5V-10HW-B-2-M-U-H7-10</t>
  </si>
  <si>
    <t>CG5V-10FW-B-2-M-U-H7-10</t>
  </si>
  <si>
    <t>DARV-W-6-K-10/100</t>
  </si>
  <si>
    <t>DARV-W-6-K-10/200</t>
  </si>
  <si>
    <t>DARV-W-6-K-10/315</t>
  </si>
  <si>
    <t>DARV-W-6-K-10/400</t>
  </si>
  <si>
    <t>DARV-W-10-G-10/100B</t>
  </si>
  <si>
    <t>DARV-W-10-G-10/315B</t>
  </si>
  <si>
    <t>DARV-W-10-K-10/100</t>
  </si>
  <si>
    <t>DARV-W-10-K-10/200</t>
  </si>
  <si>
    <t>DARV-W-10-K-10/315</t>
  </si>
  <si>
    <t>DARV-W-10-K-10/400</t>
  </si>
  <si>
    <t>DARV-W-10-P-10/200</t>
  </si>
  <si>
    <t>DARV-W-10-P-10/315</t>
  </si>
  <si>
    <t>DARV-W-20-G-10/200B</t>
  </si>
  <si>
    <t>DARV-W-20-G-10/315B</t>
  </si>
  <si>
    <t>DARV-W-20-K-10/100</t>
  </si>
  <si>
    <t>DARV-W-20-K-10/200</t>
  </si>
  <si>
    <t>DARV-W-20-K-10/315</t>
  </si>
  <si>
    <t>DARV-W-20-K-10/400</t>
  </si>
  <si>
    <t>DARV-W-25-G-10/315B</t>
  </si>
  <si>
    <t>DARV-W-30-G-10/200B</t>
  </si>
  <si>
    <t>DARV-W-30-K-10/200</t>
  </si>
  <si>
    <t>DARV-W-30-K-10/315</t>
  </si>
  <si>
    <t>F3-CB-32-F-200-10-B60</t>
  </si>
  <si>
    <t>DARV-H-6-K-10/315</t>
  </si>
  <si>
    <t>CG5V-8GW-D-VM-U-B6-11</t>
  </si>
  <si>
    <t>CG5V-8GW-D-VM-U-A6-11</t>
  </si>
  <si>
    <t>CG5V-8GM-D-M-U-H7-11</t>
  </si>
  <si>
    <t>CG5V-8GW-D-M-U-G7-11</t>
  </si>
  <si>
    <t>CG5V-10FW-B-2-M-U-B6-10</t>
  </si>
  <si>
    <t>DARV-W-20-K-10/25</t>
  </si>
  <si>
    <t>DARV-W-20-K-10/50</t>
  </si>
  <si>
    <t>DARV-H-6-K-10/200</t>
  </si>
  <si>
    <t>CG5V-10-GW-B-2-M-U-B6-10</t>
  </si>
  <si>
    <t>CG5V-6CM-D-M-U-H7-11</t>
  </si>
  <si>
    <t>DARV-W-30-K-10/100</t>
  </si>
  <si>
    <t>CG5V-8FW-E-VM-U-C6-11</t>
  </si>
  <si>
    <t>CG5V-6FW-D-M-U-H7-11</t>
  </si>
  <si>
    <t>CG5V-6GW-D-M-U-C6-11</t>
  </si>
  <si>
    <t>CG5V-6GW-D-M-U-H7-11</t>
  </si>
  <si>
    <t>CG5V-6CW-D-M-U-A6-11</t>
  </si>
  <si>
    <t>CG5V-6BW-D-M-U-A6-11</t>
  </si>
  <si>
    <t>CG5V-6CW-D-M-U-H7-11</t>
  </si>
  <si>
    <t>CG5V-6FW-D-M-U-A6-11</t>
  </si>
  <si>
    <t>CG5V-6GW-D-VM-U-H7-11</t>
  </si>
  <si>
    <t>CG5V-6GW-D-M-U-A6-11</t>
  </si>
  <si>
    <t>CG5V-6CW-D-M-U-C6-11</t>
  </si>
  <si>
    <t>CG5V-6FW-D-M-U-C6-11</t>
  </si>
  <si>
    <t>CG5V-8GW-D-M-U-H7-11</t>
  </si>
  <si>
    <t>CG5V-8CW-D-M-U-H7-11</t>
  </si>
  <si>
    <t>CG5V-8CW-D-M-U-A6-11</t>
  </si>
  <si>
    <t>CG5V-8FW-D-M-U-A6-11</t>
  </si>
  <si>
    <t>CG5V-8FW-D-M-U-H7-11</t>
  </si>
  <si>
    <t>CG5V-8CW-D-M-U-C6-11</t>
  </si>
  <si>
    <t>CG5V-8BW-D-M-U-A6-11</t>
  </si>
  <si>
    <t>CG5V-8FW-D-M-U-C6-11</t>
  </si>
  <si>
    <t>CG5V-8GW-D-M-U-A6-11</t>
  </si>
  <si>
    <t>CG5V-8GW-D-VM-U-H7-11</t>
  </si>
  <si>
    <t>CG5V-8BW-D-M-U-H7-11</t>
  </si>
  <si>
    <t>CG5V-8CW-D-M-U-B6-11</t>
  </si>
  <si>
    <t>CG5V-8CW-D-VM-U-A6-11</t>
  </si>
  <si>
    <t>CG5V-6FW-D-M-U-B6-11</t>
  </si>
  <si>
    <t>CG5V-6FW-D-VM-U-H7-11</t>
  </si>
  <si>
    <t>CG5V-6FW-D-VM-U-C6-11</t>
  </si>
  <si>
    <t>CG5V-6FW-D-H-VM-U-H7-11</t>
  </si>
  <si>
    <t>CG5V 8BW D M U D6 11</t>
  </si>
  <si>
    <t>CG5V-6CW-D-VM-U-H7-11</t>
  </si>
  <si>
    <t>CG5V-6FW-D-M-U-D6-11</t>
  </si>
  <si>
    <t>CG5V-6BW-D-M-U-H7-11</t>
  </si>
  <si>
    <t>CG5V-6GW-D-M-U-B6-11</t>
  </si>
  <si>
    <t>CG5V-6BW-D-VM-U-H7-11</t>
  </si>
  <si>
    <t>CG5V-6GW-D-H-M-U-H7-11</t>
  </si>
  <si>
    <t>CG5V-6CW-D-M-U-B6-11</t>
  </si>
  <si>
    <t>CG5V-6FW-D-VM-U-A6-11</t>
  </si>
  <si>
    <t>CG5V-8FW-D-M-U-B6-11</t>
  </si>
  <si>
    <t>F3-CG5V-8GW-D-M-U-A6-11</t>
  </si>
  <si>
    <t>CG5V-8GW-D-M-U-C6-11</t>
  </si>
  <si>
    <t>CG5V-6FW-D-H-M-U-H7-11</t>
  </si>
  <si>
    <t>CG5V-8FW-D-M-U-D6-11</t>
  </si>
  <si>
    <t>CG5V-8CW-D-VM-U-H7-11</t>
  </si>
  <si>
    <t>ECT5-06-B-0B-M-U-C6-21TB</t>
  </si>
  <si>
    <t>ECT5-10-F-0B-M-U-B6-21TB</t>
  </si>
  <si>
    <t>ECT5-06-FV-0C-M-U-B6-21TB</t>
  </si>
  <si>
    <t>ECT5-06-CV-0B-M-U-H7-21TB</t>
  </si>
  <si>
    <t>ECT5-10-F-2A-M-U-C6-21TB</t>
  </si>
  <si>
    <t>ECT5-06-F-0B-M-U-D6-21TB</t>
  </si>
  <si>
    <t>ECT5-06-C-2A-M-U-A6-21TB</t>
  </si>
  <si>
    <t>ECT5-10-BV-0B-M-U-H7-21TB</t>
  </si>
  <si>
    <t>ECT5-06BV-0B-M-U-G7-21TB</t>
  </si>
  <si>
    <t>ECT5-06-F-0B-M-U-HL7-21TB</t>
  </si>
  <si>
    <t>ECT5-10B-K-0B-VM-U-H7-21TB</t>
  </si>
  <si>
    <t>ECT5-06B-2A-M-U-H7-21TB</t>
  </si>
  <si>
    <t>ECT5-06F-0BL-M-U-H7-21TB</t>
  </si>
  <si>
    <t xml:space="preserve">EURG1 10 CV 13UG  </t>
  </si>
  <si>
    <t xml:space="preserve">EURG2 10 BV 13UG  </t>
  </si>
  <si>
    <t xml:space="preserve">EURG1 06 CV 13UG  </t>
  </si>
  <si>
    <t xml:space="preserve">ECG 10 C 10TG  </t>
  </si>
  <si>
    <t xml:space="preserve">ECG 10 CV 10TG  </t>
  </si>
  <si>
    <t xml:space="preserve">ECG 10 F 10TG  </t>
  </si>
  <si>
    <t xml:space="preserve">ECG 10 FV 10TG  </t>
  </si>
  <si>
    <t xml:space="preserve">EURG1 06 B 13UG  </t>
  </si>
  <si>
    <t xml:space="preserve">EURG1 06 C 13UG  </t>
  </si>
  <si>
    <t xml:space="preserve">EURG1 06 F 13UG  </t>
  </si>
  <si>
    <t xml:space="preserve">EURG2 06 B 13UG  </t>
  </si>
  <si>
    <t xml:space="preserve">EURG2 06 C 13UG  </t>
  </si>
  <si>
    <t xml:space="preserve">EURG2 06 F 13UG  </t>
  </si>
  <si>
    <t xml:space="preserve">EURG1 10 B 13UG  </t>
  </si>
  <si>
    <t xml:space="preserve">EURG1 10 C 13UG  </t>
  </si>
  <si>
    <t xml:space="preserve">EURG1 10 F 13UG  </t>
  </si>
  <si>
    <t xml:space="preserve">EURG2 10 C 13UG  </t>
  </si>
  <si>
    <t xml:space="preserve">EURG2 10 F 13UG  </t>
  </si>
  <si>
    <t xml:space="preserve">EURT1 06 B 12UB  </t>
  </si>
  <si>
    <t xml:space="preserve">EURT1 06 C 12UB  </t>
  </si>
  <si>
    <t xml:space="preserve">EURT1 06 F 12UB  </t>
  </si>
  <si>
    <t xml:space="preserve">EURT2 06 B 12UB  </t>
  </si>
  <si>
    <t xml:space="preserve">EURT2 06 C 12UB  </t>
  </si>
  <si>
    <t xml:space="preserve">EURT2 06 F 12UB  </t>
  </si>
  <si>
    <t xml:space="preserve">EURT1 10 C 12UB  </t>
  </si>
  <si>
    <t xml:space="preserve">EURT1 10 F 12UB  </t>
  </si>
  <si>
    <t xml:space="preserve">EURT2 10 C 12UB  </t>
  </si>
  <si>
    <t xml:space="preserve">EURT2 10 F 12UB  </t>
  </si>
  <si>
    <t>C-175-B-11UB</t>
  </si>
  <si>
    <t>C-175-C-11UB</t>
  </si>
  <si>
    <t>C-175-F-11UB</t>
  </si>
  <si>
    <t>ECT5-06-F-0B-M-U-H7-21TB</t>
  </si>
  <si>
    <t>ECT5-06-B-0B-M-U-A6-21TB</t>
  </si>
  <si>
    <t>ECT5-06-B-0B-M-U-H7-21TB</t>
  </si>
  <si>
    <t>ECT5-06-F-0B-M-U-C6-21TB</t>
  </si>
  <si>
    <t>ECT5-06-FV-0B-M-U-C6-21TB</t>
  </si>
  <si>
    <t>ECT5-06-C-0B-M-U-C6-21TB</t>
  </si>
  <si>
    <t>ECT5-06-CV-0B-M-U-C6-21TB</t>
  </si>
  <si>
    <t>ECT5-06-C-0B-M-U-H7-21TB</t>
  </si>
  <si>
    <t>ECT5-06-F-0B-M-U-A6-21TB</t>
  </si>
  <si>
    <t>ECT5-06-F-0B-M-U-B6-21TB</t>
  </si>
  <si>
    <t>ECT5-10-F-0B-M-U-H7-21TB</t>
  </si>
  <si>
    <t>ECT5-10-C-0B-M-U-A6-21TB</t>
  </si>
  <si>
    <t>ECT5-10-CV-0B-M-U-H7-21TB</t>
  </si>
  <si>
    <t>ECT5-10-F-0B-M-U-C6-21TB</t>
  </si>
  <si>
    <t>ECT5-10-CV-0B-M-U-C6-21TB</t>
  </si>
  <si>
    <t>ECT5-10-C-0B-M-U-H7-21TB</t>
  </si>
  <si>
    <t>ECT5-10-C-0B-M-U-C6-21TB</t>
  </si>
  <si>
    <t>ECT5-06-FV-0B-M-U-H7-21TB</t>
  </si>
  <si>
    <t>ECT5-06-C-0B-M-U-B6-21TB</t>
  </si>
  <si>
    <t>ECT5-06-C-0C-M-U-H7-21TB</t>
  </si>
  <si>
    <t>ECT5-10-B-0B-M-U-H7-21TB</t>
  </si>
  <si>
    <t>ECT5-10-BV-0B-M-U-D6-21TB</t>
  </si>
  <si>
    <t>ECT5-10-FV-0B-M-U-H7-21TB</t>
  </si>
  <si>
    <t>ECT5-10FV-0B-MU-C6-21TB</t>
  </si>
  <si>
    <t xml:space="preserve">EURT1 06 CV 12UB  </t>
  </si>
  <si>
    <t xml:space="preserve">EURG1 06 FV 13UG  </t>
  </si>
  <si>
    <t xml:space="preserve">ECT3 06CV 20TB EU55  </t>
  </si>
  <si>
    <t xml:space="preserve">ECT3 06F 20TB EU55  </t>
  </si>
  <si>
    <t>CG2V-6GM-1-10</t>
  </si>
  <si>
    <t>F3-ECT-06-CV-10TB</t>
  </si>
  <si>
    <t>ECT-06-B-10TB</t>
  </si>
  <si>
    <t>ECT-06-BV-10TB</t>
  </si>
  <si>
    <t>ECT-06-C-10TB</t>
  </si>
  <si>
    <t>ECT-06-CV-10TB</t>
  </si>
  <si>
    <t>ECT-06-F-10TB</t>
  </si>
  <si>
    <t>ECT-06-FV-10TB</t>
  </si>
  <si>
    <t>ECT-10-B-10TB</t>
  </si>
  <si>
    <t>ECT-10-C-10TB</t>
  </si>
  <si>
    <t>ECT-10-CV-10TB</t>
  </si>
  <si>
    <t>ECT-10-F-10TB</t>
  </si>
  <si>
    <t>ECT-10-FV-10TB</t>
  </si>
  <si>
    <t>CG2V-6FW-1-10</t>
  </si>
  <si>
    <t>CG2V-6CW-1-10</t>
  </si>
  <si>
    <t>CG2V-6GW-1-10</t>
  </si>
  <si>
    <t>CG2V-6BW-10</t>
  </si>
  <si>
    <t>CG2V-6CW-10</t>
  </si>
  <si>
    <t>CG2V-6FW-10</t>
  </si>
  <si>
    <t>CG2V-6GW-10</t>
  </si>
  <si>
    <t>CG2V-8BW-10</t>
  </si>
  <si>
    <t>CG2V-8CW-10</t>
  </si>
  <si>
    <t>CG2V-8FW-10</t>
  </si>
  <si>
    <t>CG2V-8GW-10</t>
  </si>
  <si>
    <t>CG3V-6BW-10-EU55</t>
  </si>
  <si>
    <t>CG3V-6CW-10-EU55</t>
  </si>
  <si>
    <t>CG3V-6FW-10-EU55</t>
  </si>
  <si>
    <t>CG3V-6GW-10-EU55</t>
  </si>
  <si>
    <t>CG3V-8BW-10-EU55</t>
  </si>
  <si>
    <t>CG3V-8CW-10-EU55</t>
  </si>
  <si>
    <t>CG3V-8FW-10-EU55</t>
  </si>
  <si>
    <t>CG3V-8GW-10-EU55</t>
  </si>
  <si>
    <t>CG2V-8BK-10</t>
  </si>
  <si>
    <t>CG2V-6GK-10</t>
  </si>
  <si>
    <t>CG3V-8FW-3-10-EU55</t>
  </si>
  <si>
    <t>CG3V-6GW-11-EU55</t>
  </si>
  <si>
    <t>CG2V-6FK-10</t>
  </si>
  <si>
    <t>CG2V-8BM-10</t>
  </si>
  <si>
    <t>CG2V-6BM-10</t>
  </si>
  <si>
    <t>CG2V-6FM-10</t>
  </si>
  <si>
    <t>CG2V-6BW-1-10</t>
  </si>
  <si>
    <t>CG2V-8GM-10</t>
  </si>
  <si>
    <t>CG2V-8BW-1-10</t>
  </si>
  <si>
    <t>CG2V-8CW-1-10</t>
  </si>
  <si>
    <t>CG2V-8FW-1-10</t>
  </si>
  <si>
    <t>CG2V-8GW-1-10</t>
  </si>
  <si>
    <t>KXG-6-W100-3-Z-M-U-H1-10</t>
  </si>
  <si>
    <t>KXG-6-W160-3-Z-M-U-H1-10</t>
  </si>
  <si>
    <t>KXG-6-W250-3-Z-M-U-H1-10</t>
  </si>
  <si>
    <t>KXCG-6-W100-3-Z-M-U-H1-10</t>
  </si>
  <si>
    <t>KXCG-6-W160-3-Z-M-U-H1-10</t>
  </si>
  <si>
    <t>KXCG-6-W250-3-Z-M-U-H1-10</t>
  </si>
  <si>
    <t>KXCG-6-W330-3-Z-M-U-H1-10</t>
  </si>
  <si>
    <t>KXG-8-W160-3-Z-M-U-H1-10</t>
  </si>
  <si>
    <t>KXCG-8-W160-3-Z-M-U-H1-10</t>
  </si>
  <si>
    <t>KXCG-8-W250-3-Z-M-U-H1-10</t>
  </si>
  <si>
    <t>KXCG-6-W160-Z-M-U-H1-10</t>
  </si>
  <si>
    <t>KXCG-6-W160-3-Z-M-U-HL1-10</t>
  </si>
  <si>
    <t>KXG-6-W250-3-Z-M-U-HL1-10</t>
  </si>
  <si>
    <t>KXCG-6-W330-3-Z-M-U-HL1-10</t>
  </si>
  <si>
    <t>KXCG-6-W250-3-Z-M-U-HL1-10</t>
  </si>
  <si>
    <t>KXCG-6-W100-Z-M-U-H1-10</t>
  </si>
  <si>
    <t>KXCG-6-W250-Z-M-U-H1-10</t>
  </si>
  <si>
    <t>KXCG-8-W160-Z-M-U-H1-10</t>
  </si>
  <si>
    <t>KXG-6-W100-Z-M-U-H1-10</t>
  </si>
  <si>
    <t>KBXCG-6-W100-3-Z-M1-3-A-PE7-H1-10</t>
  </si>
  <si>
    <t>KBXCG-6-W160-3-Z-M1-3-A-PE7-H1-10</t>
  </si>
  <si>
    <t>KBXCG-8-W100-Z-M1-3-A-PE7-H1-10</t>
  </si>
  <si>
    <t>KBXG-6-W160-Z-M1-3-A-PE7-H1-10</t>
  </si>
  <si>
    <t>KBXG-6-W250-3-Z-M1-3-A-PE7-H1-10</t>
  </si>
  <si>
    <t>KBXG-8-W160-3-Z-M1-3-A-PE7-H1-10</t>
  </si>
  <si>
    <t>KBXCG-6-W250-Z-M1-3-A-PE7-H1-10</t>
  </si>
  <si>
    <t>KBXG-8-W250-Z-M1-3-A-PE7-H1-10</t>
  </si>
  <si>
    <t>KBXG-6-W100-Z-M1-3-A-PE7-H1-10</t>
  </si>
  <si>
    <t>KBXCG-6-W100-Z-M2-3-A-PE7-H1-10</t>
  </si>
  <si>
    <t>KBXCG-6-W160-Z-M1-3-A-PE7-H1-10</t>
  </si>
  <si>
    <t>KBXG-6-W250-Z-M1-3-A-PE7-H1-10</t>
  </si>
  <si>
    <t>KBXCG-6-W160-Z-M2-3-A-PE7-H1-10</t>
  </si>
  <si>
    <t>KBXCG-6-W100-Z-M1-3-A-PE7-H1-10</t>
  </si>
  <si>
    <t>KXG-8-W250-Z-M-U-H1-10</t>
  </si>
  <si>
    <t>KBXCG-6-W250-Z-M2-3-A-PE7-H1-10</t>
  </si>
  <si>
    <t>KBXG-6-W250-Z-M2-3-A-PE7-H1-10</t>
  </si>
  <si>
    <t>KBXG-6-W330-Z-M2-3-A-PE7-H1-10</t>
  </si>
  <si>
    <t>KBXG-6-W330-Z-M1-3-A-PH7-H1-10</t>
  </si>
  <si>
    <t>KBXG-8-W250-Z-M2-3-A-PE7-H1-10</t>
  </si>
  <si>
    <t>KBXG-6-W160-Z-M2-3-A-PE7-H1-10</t>
  </si>
  <si>
    <t>XCG2V-10-FW-B-10</t>
  </si>
  <si>
    <t>XG2V-10-FW-B-10</t>
  </si>
  <si>
    <t>KBXCG-8-W160-Z-M2-3-A-PE7-H1-10</t>
  </si>
  <si>
    <t>RT 06 X1 23UB</t>
  </si>
  <si>
    <t>RCG-06-Z2-23UG</t>
  </si>
  <si>
    <t>RG-10-FP2-22UG</t>
  </si>
  <si>
    <t>RG-10-A4-22UG</t>
  </si>
  <si>
    <t>RCT-06-BP3-23UB</t>
  </si>
  <si>
    <t>KBXG-6-W250-3-Z-M2-3-A-PE7-H1-11</t>
  </si>
  <si>
    <t>RT-06-Y2-23UB</t>
  </si>
  <si>
    <t xml:space="preserve">XT 06 3B 23UB  </t>
  </si>
  <si>
    <t>RT-06-D4-23UB</t>
  </si>
  <si>
    <t>RCT-06-F4-23UB</t>
  </si>
  <si>
    <t>RG-10-Z4-22UG</t>
  </si>
  <si>
    <t>RCG-06-FP1-23UG</t>
  </si>
  <si>
    <t>RCT-06-F2-23UB</t>
  </si>
  <si>
    <t>RCT-06-F1-23UB</t>
  </si>
  <si>
    <t>RT-10-B2-22UB</t>
  </si>
  <si>
    <t>RG-06-Z2-23UG</t>
  </si>
  <si>
    <t>RT-06-A4-23UB</t>
  </si>
  <si>
    <t>RCG-06-A4-23UG</t>
  </si>
  <si>
    <t xml:space="preserve">XT 10 3B 22UB  </t>
  </si>
  <si>
    <t xml:space="preserve">XT 10 3F 22UB  </t>
  </si>
  <si>
    <t xml:space="preserve">XCT 10 3F 22UB  </t>
  </si>
  <si>
    <t>RCT-10-D1-22UB</t>
  </si>
  <si>
    <t>RG-06-D2-23UG</t>
  </si>
  <si>
    <t>RG-06-D4-23UG</t>
  </si>
  <si>
    <t>RG-10-DP2-22UG</t>
  </si>
  <si>
    <t>RCT-06-FP1-23UB</t>
  </si>
  <si>
    <t>RCG-06-D2-23UG</t>
  </si>
  <si>
    <t>RCG-06-FP2-23-UG</t>
  </si>
  <si>
    <t>RG-10-X3-22UG</t>
  </si>
  <si>
    <t>RCG-10-DP2-22UG</t>
  </si>
  <si>
    <t>RCT-10-B3-22UB</t>
  </si>
  <si>
    <t>RT-10-D2-22UB</t>
  </si>
  <si>
    <t>RT-10-X1-22UB</t>
  </si>
  <si>
    <t>RG-10-B2-22UG</t>
  </si>
  <si>
    <t>RG-10-D3-22UG</t>
  </si>
  <si>
    <t>RCT-06-F3-23UB</t>
  </si>
  <si>
    <t>RT-10-D4-22UB</t>
  </si>
  <si>
    <t>RCT-06-D2-23UB</t>
  </si>
  <si>
    <t>RCG-10-D3-22UG</t>
  </si>
  <si>
    <t>RCT-06-D1-23UB</t>
  </si>
  <si>
    <t>RT-06-B4-23UB</t>
  </si>
  <si>
    <t>RCG-10-B3-22UG</t>
  </si>
  <si>
    <t>RCT-06-B2-23UB</t>
  </si>
  <si>
    <t>RT-06-B2-23UB</t>
  </si>
  <si>
    <t>RCG-06-F2-23UG</t>
  </si>
  <si>
    <t>RT-06-D2-23UB</t>
  </si>
  <si>
    <t>RCG-06-B2-23UG</t>
  </si>
  <si>
    <t>RCG-06-B4-23UG</t>
  </si>
  <si>
    <t>RCG-06-D1-23UG</t>
  </si>
  <si>
    <t>RCG-06-F4-23UG</t>
  </si>
  <si>
    <t>RG-06-A1-23UG</t>
  </si>
  <si>
    <t>RG-06-B2-23UG</t>
  </si>
  <si>
    <t>RG-06-B4-23UG</t>
  </si>
  <si>
    <t>RG-06-D1-23UG</t>
  </si>
  <si>
    <t>RG-06-D3-23UG</t>
  </si>
  <si>
    <t>RG-06-F2-23UG</t>
  </si>
  <si>
    <t>RG-06-F4-23UG</t>
  </si>
  <si>
    <t>RG-06-Z3-23UG</t>
  </si>
  <si>
    <t>RT-06-D3-23UB</t>
  </si>
  <si>
    <t>RCG-10-DP1-22UG</t>
  </si>
  <si>
    <t>RG-10-DP1-22UG</t>
  </si>
  <si>
    <t>RCG-10-F2-22UG</t>
  </si>
  <si>
    <t>RCT-10-D2-22UB</t>
  </si>
  <si>
    <t>RCG-06-F1-23UG</t>
  </si>
  <si>
    <t>RCG-06-B1-23UG</t>
  </si>
  <si>
    <t>RG-10-Z3-22UG</t>
  </si>
  <si>
    <t>RT10-Z1-22UB</t>
  </si>
  <si>
    <t>RCG-10-D4-22UG</t>
  </si>
  <si>
    <t>RCG-10-FP2-22UG</t>
  </si>
  <si>
    <t>RG-10-DP4-22UG</t>
  </si>
  <si>
    <t>RG-10-D4-22UG</t>
  </si>
  <si>
    <t>RCG-10-F1-22UG</t>
  </si>
  <si>
    <t>RG-10-B4-22UG</t>
  </si>
  <si>
    <t>RG-10-F4-22UG</t>
  </si>
  <si>
    <t>RCG-10-D1-22UG</t>
  </si>
  <si>
    <t>RCG-10-FP1-22UG</t>
  </si>
  <si>
    <t>RCT-10-F1-22UB</t>
  </si>
  <si>
    <t>RCT-10-FP1-22UB</t>
  </si>
  <si>
    <t>RCT-10-B1-22UB</t>
  </si>
  <si>
    <t>RG-10-B1-22UG</t>
  </si>
  <si>
    <t>RCG-10-B1-22UG</t>
  </si>
  <si>
    <t xml:space="preserve">XT 10 2B 22UB  </t>
  </si>
  <si>
    <t>RCG-06-DP1-23UG</t>
  </si>
  <si>
    <t>RG-10-X2-22UG</t>
  </si>
  <si>
    <t>RCT-10-FP4-22UB</t>
  </si>
  <si>
    <t>RG-10-Y2-22UG</t>
  </si>
  <si>
    <t xml:space="preserve">XT 10 1B 22UB  </t>
  </si>
  <si>
    <t>RCG-06-A3-23UG</t>
  </si>
  <si>
    <t>RG-06-F3-23UG</t>
  </si>
  <si>
    <t>RCG-10-F3-22UG</t>
  </si>
  <si>
    <t>RG-10-F3-22UG</t>
  </si>
  <si>
    <t>RT-06-B1-23UB</t>
  </si>
  <si>
    <t>RT-06-F1-23UB</t>
  </si>
  <si>
    <t xml:space="preserve">XCT 10 2B 22UB  </t>
  </si>
  <si>
    <t xml:space="preserve">XCT 10 2F 22UB  </t>
  </si>
  <si>
    <t>RCG-10-Y3-22UG</t>
  </si>
  <si>
    <t>F3 RG 10 D2 22UG</t>
  </si>
  <si>
    <t>RCG-06-DP4-23UG</t>
  </si>
  <si>
    <t>RCG-06-DP2-23UG</t>
  </si>
  <si>
    <t>RG-10-Z2-22UG</t>
  </si>
  <si>
    <t>RCT-06-FP4-23UB</t>
  </si>
  <si>
    <t>RCT-06-A4-23UB</t>
  </si>
  <si>
    <t xml:space="preserve">XCT 06 1B 23UB  </t>
  </si>
  <si>
    <t>RT-06-Z4-23UB</t>
  </si>
  <si>
    <t xml:space="preserve">XT 06 1F 23UB  </t>
  </si>
  <si>
    <t xml:space="preserve">XT 06 3F 23UB  </t>
  </si>
  <si>
    <t xml:space="preserve">XCT 06 1F 23UB  </t>
  </si>
  <si>
    <t xml:space="preserve">XCT 06 2B 23UB  </t>
  </si>
  <si>
    <t xml:space="preserve">XCT 06 2F 23UB  </t>
  </si>
  <si>
    <t xml:space="preserve">XCT 06 3F 23UB  </t>
  </si>
  <si>
    <t xml:space="preserve">XT 06 2B 23UB  </t>
  </si>
  <si>
    <t xml:space="preserve">XT 06 2F 23UB  </t>
  </si>
  <si>
    <t>RCT-10-F3-22UB</t>
  </si>
  <si>
    <t>RG-10-Y1-22UG</t>
  </si>
  <si>
    <t>XG3V-8BW-3-10-EU55</t>
  </si>
  <si>
    <t>XG2V-6GM-10</t>
  </si>
  <si>
    <t>XG3V-8BW-10-EU55</t>
  </si>
  <si>
    <t>XG2V-6CK-10</t>
  </si>
  <si>
    <t>XG3V-6CW-3-10-EU55</t>
  </si>
  <si>
    <t>XG3V-6BW-10-EU55</t>
  </si>
  <si>
    <t>XG3V-8CW-10-EU55</t>
  </si>
  <si>
    <t>XCG2V-6BW-10</t>
  </si>
  <si>
    <t>XCG2V-6CW-10</t>
  </si>
  <si>
    <t>XCG2V-6FW-10</t>
  </si>
  <si>
    <t>XCG2V-6GW-10</t>
  </si>
  <si>
    <t>XCG2V-8BW-10</t>
  </si>
  <si>
    <t>XCG2V-8CW-10</t>
  </si>
  <si>
    <t>XCG2V-8FW-10</t>
  </si>
  <si>
    <t>XCG2V-8GW-10</t>
  </si>
  <si>
    <t>XCG3V-8CW-10-EU55</t>
  </si>
  <si>
    <t>XCG2V-6AW-10</t>
  </si>
  <si>
    <t>XCG2V-8AW-10</t>
  </si>
  <si>
    <t>XCG3V-6CW-3-10-EU55</t>
  </si>
  <si>
    <t>XCG3V-6FW-3-10-EU55</t>
  </si>
  <si>
    <t>XCG3V-6GW-3-10-EU55</t>
  </si>
  <si>
    <t>XCG3V-8FW-3-10-EU55</t>
  </si>
  <si>
    <t>XG3V-6CW-10-EU55</t>
  </si>
  <si>
    <t>XCG2V-6BK-10</t>
  </si>
  <si>
    <t>XG2V-6FM-10</t>
  </si>
  <si>
    <t>XG2V-6AW-10</t>
  </si>
  <si>
    <t>XG2V-6BW-10</t>
  </si>
  <si>
    <t>XG2V-6CW-10</t>
  </si>
  <si>
    <t>XG2V-6FW-10</t>
  </si>
  <si>
    <t>XG2V-6GW-10</t>
  </si>
  <si>
    <t>XG2V-8AW-10</t>
  </si>
  <si>
    <t>XG2V-8BW-10</t>
  </si>
  <si>
    <t>XG2V-8CW-10</t>
  </si>
  <si>
    <t>XG2V-8FW-10</t>
  </si>
  <si>
    <t>XG2V-8GW-10</t>
  </si>
  <si>
    <t>XG3V-6GW-3-10-EU55</t>
  </si>
  <si>
    <t>XG2V-6BM-10</t>
  </si>
  <si>
    <t>XCG2V-6CK-10</t>
  </si>
  <si>
    <t>XG2V-6CM-10</t>
  </si>
  <si>
    <t>XG3V-8AW-3-10-EU55</t>
  </si>
  <si>
    <t>XG3V-6AW-3-10-EU55</t>
  </si>
  <si>
    <t>XG3V-6FW-3-10-EU55</t>
  </si>
  <si>
    <t>XG3V-8FW-10-EU55</t>
  </si>
  <si>
    <t>XG3V-6GW-10-EU55</t>
  </si>
  <si>
    <t>XG2V-8FK-10</t>
  </si>
  <si>
    <t>XCG2V-6FK-10</t>
  </si>
  <si>
    <t>XG2V-6FK-10</t>
  </si>
  <si>
    <t>XG3V-6BW-3-10-EU55</t>
  </si>
  <si>
    <t>F3-XCG2V-6BW-10</t>
  </si>
  <si>
    <t>XG3V-8FW-3-10-EU55</t>
  </si>
  <si>
    <t>XCG2V-8CK-10</t>
  </si>
  <si>
    <t xml:space="preserve">F3 EFN 10 11 B  </t>
  </si>
  <si>
    <t>FN-03-20</t>
  </si>
  <si>
    <t xml:space="preserve">FN 10 11  </t>
  </si>
  <si>
    <t xml:space="preserve">FN 06 21  </t>
  </si>
  <si>
    <t xml:space="preserve">EFN 10 11 F  </t>
  </si>
  <si>
    <t xml:space="preserve">EFN 10 11 B  </t>
  </si>
  <si>
    <t xml:space="preserve">EFN 06 21 B  </t>
  </si>
  <si>
    <t xml:space="preserve">FN 03 20 B  </t>
  </si>
  <si>
    <t>PCG5V-8A-E-M-U-H7-11</t>
  </si>
  <si>
    <t>PCG3V-8F-10-EU55</t>
  </si>
  <si>
    <t>DT8P1-03-5-10UB</t>
  </si>
  <si>
    <t>DT8P1-03-30-10UB</t>
  </si>
  <si>
    <t>DT8P1-03-65-10UB</t>
  </si>
  <si>
    <t>4CT-03-DA-21</t>
  </si>
  <si>
    <t>DT8P1-02-5-10UB</t>
  </si>
  <si>
    <t>DT8P1-06-5-11-ENB</t>
  </si>
  <si>
    <t>DT8P1-06-65-11-ENB</t>
  </si>
  <si>
    <t>DT8P1-06-30-11-ENB</t>
  </si>
  <si>
    <t>DT8P1-10-5-11-ENB</t>
  </si>
  <si>
    <t>DT8P1-10-65-11ENB</t>
  </si>
  <si>
    <t>DT8P1-10-30-11-ENB</t>
  </si>
  <si>
    <t>PCG5V-8AD-1-E-M-U-H7-11</t>
  </si>
  <si>
    <t>PCG5V-8A-1-E-M-U-H7-11</t>
  </si>
  <si>
    <t>PCG5V-6AD-1-E-M-U-C6-11</t>
  </si>
  <si>
    <t>PCG3V-6C-1-10-EU55</t>
  </si>
  <si>
    <t>PCG5V-6A-E-M-U-A6-11</t>
  </si>
  <si>
    <t>PCG5V-6A-1-E-VM-U-H7-11</t>
  </si>
  <si>
    <t>PCG5V-8C-1-E-M-U-C6-11</t>
  </si>
  <si>
    <t>PCG5V-8AD-1-E-M-U-C6-11</t>
  </si>
  <si>
    <t>PCG5V-8A-E-VM-U-C6-11</t>
  </si>
  <si>
    <t>PCG5V-8C-1-E-M-U-A6-11</t>
  </si>
  <si>
    <t xml:space="preserve">C5G 815  </t>
  </si>
  <si>
    <t xml:space="preserve">C5G 825  </t>
  </si>
  <si>
    <t xml:space="preserve">C5G 805  </t>
  </si>
  <si>
    <t>4CT1-06-A-21-UB</t>
  </si>
  <si>
    <t>4CT1-06-DA-21-UB</t>
  </si>
  <si>
    <t>4CT1-10-A-21-UB</t>
  </si>
  <si>
    <t>4CT1-10-DA-21-UB</t>
  </si>
  <si>
    <t xml:space="preserve">4CG1 10 DA 21UG  </t>
  </si>
  <si>
    <t xml:space="preserve">4CG1 10 A 21UG  </t>
  </si>
  <si>
    <t>4CT-06-DA-20-UB</t>
  </si>
  <si>
    <t>4CT-10-C-20-UB</t>
  </si>
  <si>
    <t>4CT-10-DA-20-UB</t>
  </si>
  <si>
    <t>4CT-10-A-20-UB</t>
  </si>
  <si>
    <t>4CT-10-F-20-UB</t>
  </si>
  <si>
    <t>PCG3V-8AD-1-10-EU55</t>
  </si>
  <si>
    <t xml:space="preserve">C5G 805 S12  </t>
  </si>
  <si>
    <t>C5GV-815-UG</t>
  </si>
  <si>
    <t>C5GV-825-UG</t>
  </si>
  <si>
    <t>PCG3V-6A-10-EU55</t>
  </si>
  <si>
    <t>4CT-03-C-21</t>
  </si>
  <si>
    <t>PCG3V-8A-10-EU55</t>
  </si>
  <si>
    <t xml:space="preserve">4CG 10 A 20UG  </t>
  </si>
  <si>
    <t>4CT-06-A-20-UB</t>
  </si>
  <si>
    <t>4CT-06-B-20-UB</t>
  </si>
  <si>
    <t>4CT-06-C-20-UB</t>
  </si>
  <si>
    <t>4CT-06-F-20-UB</t>
  </si>
  <si>
    <t>PCG5V-6C-1-E-M-U-B6-11</t>
  </si>
  <si>
    <t>PCG5V-6AD-1-E-M-U-A6-11</t>
  </si>
  <si>
    <t>PCG5V-6AD-1-E-M-U-H7-11</t>
  </si>
  <si>
    <t>PCG5V-6C-1-E-M-U-C6-11</t>
  </si>
  <si>
    <t>PCG5V-6C-1-E-M-U-A6-11</t>
  </si>
  <si>
    <t>PCG5V-6C-1-E-M-U-H7-11</t>
  </si>
  <si>
    <t>PCG5V-6A-E-VM-U-H7-11</t>
  </si>
  <si>
    <t>PCG3V-8C-10-EU55</t>
  </si>
  <si>
    <t>PCG5V-8C-1-E-VM-U-H7-11</t>
  </si>
  <si>
    <t>PCG5V-8A-1-E-M-U-A6-11</t>
  </si>
  <si>
    <t>PCG5V-8AD-1-E-M-U-A6-11</t>
  </si>
  <si>
    <t>PCG5V-8C-1-E-M-U-B6-11</t>
  </si>
  <si>
    <t>PCG5V-8A-1-E-VM-U-C6-11</t>
  </si>
  <si>
    <t>4CT1-10-F-21-UB</t>
  </si>
  <si>
    <t>4CT1-06-F-21-UB</t>
  </si>
  <si>
    <t>4CT1-06-C-21-UB</t>
  </si>
  <si>
    <t>4CT1-06-B-21-UB</t>
  </si>
  <si>
    <t>4CT1-10-C-21-UB</t>
  </si>
  <si>
    <t>F3-PCGV-6AD-10</t>
  </si>
  <si>
    <t>PCGV-6A-10</t>
  </si>
  <si>
    <t>PCGV-6C-10</t>
  </si>
  <si>
    <t>PCGV-6F-10</t>
  </si>
  <si>
    <t>PCGV-6AD-10</t>
  </si>
  <si>
    <t>PCGV-6CD-10</t>
  </si>
  <si>
    <t>PCGV-6FD-10</t>
  </si>
  <si>
    <t>PCGV-6A-1-10</t>
  </si>
  <si>
    <t>PCGV-6C-1-10</t>
  </si>
  <si>
    <t>PCGV-6F-1-10</t>
  </si>
  <si>
    <t>PCGV-6AD-1-10</t>
  </si>
  <si>
    <t>PCGV-6CD-1-10</t>
  </si>
  <si>
    <t>PCGV-6FD-1-10</t>
  </si>
  <si>
    <t>PCGV-8A-10</t>
  </si>
  <si>
    <t>PCGV-8C-10</t>
  </si>
  <si>
    <t>PCGV-8F-10</t>
  </si>
  <si>
    <t>PCGV-8AD-10</t>
  </si>
  <si>
    <t>PCGV-8CD-10</t>
  </si>
  <si>
    <t>PCGV-8FD-10</t>
  </si>
  <si>
    <t>PCGV-8A-1-10</t>
  </si>
  <si>
    <t>PCGV-8C-1-10</t>
  </si>
  <si>
    <t>PCGV-8F-1-10</t>
  </si>
  <si>
    <t>PCGV-8AD-1-10</t>
  </si>
  <si>
    <t>PCGV-8CD-1-10</t>
  </si>
  <si>
    <t>PCGV-8FD-1-10</t>
  </si>
  <si>
    <t>DG5V-5-2C-T-M-U-H7-10</t>
  </si>
  <si>
    <t>DG5V-5-2C-2-T-M-U-H7-10</t>
  </si>
  <si>
    <t>DG5V-5-3C-T-10-EN55</t>
  </si>
  <si>
    <t>DG5V-5-6C-T-10-EN55</t>
  </si>
  <si>
    <t>DG5V-7-2A-M-U-H7-30</t>
  </si>
  <si>
    <t>DG5V-7-2C-E-T-M-U-H7-30</t>
  </si>
  <si>
    <t>DG5V-7-2C-T-30-EN55</t>
  </si>
  <si>
    <t>DG5V-5-2C-E-M-U-H7-10</t>
  </si>
  <si>
    <t>DG5V-7-2B-T-M-U-H7-30</t>
  </si>
  <si>
    <t>DG5V-7-0A-T-30-EN55</t>
  </si>
  <si>
    <t>DG5V-7-2A-T-30-EN55</t>
  </si>
  <si>
    <t>DG5V-7-2A-1-T-30-EN55</t>
  </si>
  <si>
    <t>DG5V-7-6C-T-K-30-EN55</t>
  </si>
  <si>
    <t>DG5V-7-0C-T-30-EN55</t>
  </si>
  <si>
    <t>DG5V-7-33C-T-30-EN55</t>
  </si>
  <si>
    <t>DG5V-7-3C-T-30-EN55</t>
  </si>
  <si>
    <t>DG5V-7-52C-T-30-EN55</t>
  </si>
  <si>
    <t>DG5V-7-6C-1-T-30-EN55</t>
  </si>
  <si>
    <t>DG5V-7-6C-T-30-EN55</t>
  </si>
  <si>
    <t>DG5V-7-8C-T-30-EN55</t>
  </si>
  <si>
    <t>DG5V-7-8C-T-K-30-EN55</t>
  </si>
  <si>
    <t>DG5V-7-0C-M-U-C6-30</t>
  </si>
  <si>
    <t>DG5V-7-2C-E-M-U-A6-30</t>
  </si>
  <si>
    <t>DG5V-7-2C-M-U-A6-30</t>
  </si>
  <si>
    <t>DG5V-7-2C-M-U-C6-30</t>
  </si>
  <si>
    <t>DG5V-7-2C-T-M-U-C6-30</t>
  </si>
  <si>
    <t>DG5V-7-6C-1-T-M-U-A6-30</t>
  </si>
  <si>
    <t>DG5V-7-6C-2-T-M-U-A6-30</t>
  </si>
  <si>
    <t>DG5V-7-6C-M-U-A6-30</t>
  </si>
  <si>
    <t>DG5V-7-6C-M-U-C6-30</t>
  </si>
  <si>
    <t>DG5V-7-6C-T-M-U-A6-30</t>
  </si>
  <si>
    <t>DG5V-7-6C-T-M-U-B6-30</t>
  </si>
  <si>
    <t>DG5V-7-8C-K-VM-U-B6-30</t>
  </si>
  <si>
    <t>DG5V-7-8C-VM-U-A6-30</t>
  </si>
  <si>
    <t>DG5V-7-8C-VM-U-C6-30</t>
  </si>
  <si>
    <t>DG5V-7-9A-T-30-EN55</t>
  </si>
  <si>
    <t>DG5V-7-X33C-1-T-30-EN55</t>
  </si>
  <si>
    <t>DG5V-7-9C-T-30-EN55</t>
  </si>
  <si>
    <t>DG5V-7-1C-T-30-EN55</t>
  </si>
  <si>
    <t>DG5V-7-33C-1-T-30-EN55</t>
  </si>
  <si>
    <t>DG5V-7-2C-1-T-30-EN55</t>
  </si>
  <si>
    <t>DG5V-7-2A-M-U-C6-30</t>
  </si>
  <si>
    <t>DG5V-7-Y33C-1-T-30-EN55</t>
  </si>
  <si>
    <t>DG5V-7-33C-2-M-U-A6-30</t>
  </si>
  <si>
    <t>DG5V-7-2C-T-M-U-A6-30</t>
  </si>
  <si>
    <t>DG5V-7-2C-M-U-B6-30</t>
  </si>
  <si>
    <t>DG5V-7-2C-T-M-U-H7-30</t>
  </si>
  <si>
    <t>DG5V-7-6C-T-M-U-H7-30</t>
  </si>
  <si>
    <t>DG5V-7-31C-T-M-U-H7-30</t>
  </si>
  <si>
    <t>DG5V-7-6C-2-T-M-U-B6-30</t>
  </si>
  <si>
    <t>DG5V-7-3C-T-M-U-C6-30</t>
  </si>
  <si>
    <t>DG5V-7-2C-2-T-M-U-H7-30</t>
  </si>
  <si>
    <t>DG5V-7-2N-M-U-H7-30</t>
  </si>
  <si>
    <t>DG5V-7-8C-VM-U-H7-30</t>
  </si>
  <si>
    <t>DG5V-7-2C-M-U-H7-30</t>
  </si>
  <si>
    <t>DG5V-7-6C-T-M-U-C6-30</t>
  </si>
  <si>
    <t>DG5V-7-2A-T-M-U-C6-30</t>
  </si>
  <si>
    <t>DG5V-7-6C-2-T-M-U-C6-30</t>
  </si>
  <si>
    <t>DG5V-7-3C-T-M-U-H7-30</t>
  </si>
  <si>
    <t>DG5V-7-Y2C-1-T-30-EN55</t>
  </si>
  <si>
    <t>DG5V-7-0C-M-U-H7-30</t>
  </si>
  <si>
    <t>DG5V-7-8C-VM-U-G7-30</t>
  </si>
  <si>
    <t>DG5V-7-2C-T-K-30-EN55</t>
  </si>
  <si>
    <t>DG5V-7-2A-T-M-U-H7-30</t>
  </si>
  <si>
    <t>DG5V-7-6C-E-M-U-H7-30</t>
  </si>
  <si>
    <t>DG5V-7-0C-E-M-U-H7-30</t>
  </si>
  <si>
    <t>DG5V-7-6C-VM-U-A6-30</t>
  </si>
  <si>
    <t>DG5V-7-0C-2-E-T-H-M-U-G7-30</t>
  </si>
  <si>
    <t>DG5V-7-6C-2-E-M-U-A6-30</t>
  </si>
  <si>
    <t>DG5V-7-0C-T-K-30-EN55</t>
  </si>
  <si>
    <t>DG5V-7-8C-T-K-VM-U-H7-30</t>
  </si>
  <si>
    <t>DG5V-7-6C-M-U-H7-30</t>
  </si>
  <si>
    <t>DG5V-7-0A-M-U-C6-30</t>
  </si>
  <si>
    <t>DG3V-7-8C-20</t>
  </si>
  <si>
    <t>DG3V-7-6C-20</t>
  </si>
  <si>
    <t>DG3V-7-2C-1-20</t>
  </si>
  <si>
    <t>DG3V-7-2C-20</t>
  </si>
  <si>
    <t>DG3V-7-2-20</t>
  </si>
  <si>
    <t>DG3V-7-0C-20</t>
  </si>
  <si>
    <t>DG3V-7-33C-20</t>
  </si>
  <si>
    <t>DG5V-7-2C-3-M-U-H7-30</t>
  </si>
  <si>
    <t>DG5V-7-33C-T-M-U-H7-30</t>
  </si>
  <si>
    <t>DG5V-7-2C-2-M-U-H7-30</t>
  </si>
  <si>
    <t>DG5V-7-56C-T-30-EN37-EN55</t>
  </si>
  <si>
    <t>DG5V-7-6BL-M-U-H7-30</t>
  </si>
  <si>
    <t>DG5V-7-6C-2-T-M-U-H7-30</t>
  </si>
  <si>
    <t>DG5V-7-6C-2-M-U-H7-30</t>
  </si>
  <si>
    <t>DG5V-7-8C-VM-U-B6-30</t>
  </si>
  <si>
    <t>DG5V-7-2A-T-M-U-B6-30</t>
  </si>
  <si>
    <t>DG5V-7-6C-1-M-U-H7-30</t>
  </si>
  <si>
    <t>DG5V-7-2N-2-E-M-U-H7-30</t>
  </si>
  <si>
    <t>DG5V-7-2A-2-E-T-M-U-H7-30</t>
  </si>
  <si>
    <t>DG5V-7-2C-E-M-U-H7-30</t>
  </si>
  <si>
    <t>DG5V-7-6C-2-M-U-A6-30</t>
  </si>
  <si>
    <t>DG5V-7-6C-E-T-M-U-H7-30</t>
  </si>
  <si>
    <t>DG5V-7-2A-E-M-U-H7-30</t>
  </si>
  <si>
    <t>DG5V-7-0C-E-M-U-C6-30</t>
  </si>
  <si>
    <t>DG5V-7-8C-E-VM-U-C6-30</t>
  </si>
  <si>
    <t>DG5V-7-6C-1-M-U-A6-30</t>
  </si>
  <si>
    <t>DG5V-7-8C-E-K-VM-U-H7-30</t>
  </si>
  <si>
    <t>DG5V-7-2C-1-M-U-H7-30</t>
  </si>
  <si>
    <t>DG5V-7-8C-K-VM-U-C6-30</t>
  </si>
  <si>
    <t>DG5V-7-0C-2-M-U-C6-30</t>
  </si>
  <si>
    <t>DG5V-7-52C-E-M-U-H7-30</t>
  </si>
  <si>
    <t>DG5V-7-2C-E-M-U-B6-30</t>
  </si>
  <si>
    <t>DG5V-7-2A-2-M-U-H7-30</t>
  </si>
  <si>
    <t>DG5V-7-8C-E-VM-U-H7-30</t>
  </si>
  <si>
    <t>DG5V-7-6C-3-M-U-H7-30</t>
  </si>
  <si>
    <t>DG5V-7-3C-2-T-M-U-H7-30</t>
  </si>
  <si>
    <t>DG5V-7-0A-E-M-U-H7-30</t>
  </si>
  <si>
    <t>DG5V-7-2C-1-E-M-U-C6-30</t>
  </si>
  <si>
    <t>DG5V-7-2C-2-M-U-B6-30</t>
  </si>
  <si>
    <t>DG5V-7-33C-M-U-H7-30</t>
  </si>
  <si>
    <t>DG5V-7-2A-2-M-U-B6-30</t>
  </si>
  <si>
    <t>DG5V-7-6B-M-U-H7-30</t>
  </si>
  <si>
    <t>DG5V-7-0A-M-U-H7-30</t>
  </si>
  <si>
    <t>DG5V-7-2A-2-T-M-U-B6-30</t>
  </si>
  <si>
    <t>DG5V-7-8C-2-E-VM-U-H7-30</t>
  </si>
  <si>
    <t>DG5V-7-3C-2-M-U-A6-30</t>
  </si>
  <si>
    <t>DG5V-7-2C-1-T-M-U-A6-30</t>
  </si>
  <si>
    <t>DG5V-7-6C-2-M-U-B6-30</t>
  </si>
  <si>
    <t>DG3V-7-31C-20</t>
  </si>
  <si>
    <t>DG5V-7-6C-2-M-U-C6-30</t>
  </si>
  <si>
    <t>DG5V-7-0A-T-M-U-H7-30</t>
  </si>
  <si>
    <t>DG5V-7-2C-M-U-D6-30</t>
  </si>
  <si>
    <t>DG5V-7-8C-E-VM-U-D6-30</t>
  </si>
  <si>
    <t>DG5V-7-2C-2-E-T-M-U-C6-30</t>
  </si>
  <si>
    <t>DG5V-7-52C-T-M-U-H7-30</t>
  </si>
  <si>
    <t>DG5V-7-2C-2-T-M-U-A6-30</t>
  </si>
  <si>
    <t>DG5V-7-0C-2-E-M-U-C6-30</t>
  </si>
  <si>
    <t>DG5V-7-0C-E-M-U-G7-30-A10-B10</t>
  </si>
  <si>
    <t>DG5V-7-2N-M-U-B6-30</t>
  </si>
  <si>
    <t>DG5V-7-0A-T-M-U-B6-30</t>
  </si>
  <si>
    <t>DG5V-7-3C-E-M-U-H7-30</t>
  </si>
  <si>
    <t>DG5V-7-1C-T-K-M-U-A6-30</t>
  </si>
  <si>
    <t>DG5V-7-31B-T-M-U-H7-30</t>
  </si>
  <si>
    <t>DG5V-7-2C-1-M-U-A6-30</t>
  </si>
  <si>
    <t>DG5V-7-2A-2-E-M-U-H7-30</t>
  </si>
  <si>
    <t>DG5V-7-33C-2-M-U-H7-30</t>
  </si>
  <si>
    <t>DG5V-7-33C-VM-U-H7-30</t>
  </si>
  <si>
    <t>DG5V-7-3C-M-U-H7-30</t>
  </si>
  <si>
    <t>DG5V-7-33C-2-VM-U-H7-30</t>
  </si>
  <si>
    <t>DG5V-7-2N-2-T-M-U-H7-30</t>
  </si>
  <si>
    <t>DG5V-7-3C-2-T-M-U-C6-30</t>
  </si>
  <si>
    <t>DG5V-7-33C-M-U-B6-30</t>
  </si>
  <si>
    <t>DG5V-5-6C-2-T-M-U-A6-10</t>
  </si>
  <si>
    <t>DG5V-7-2C-VM-U-H7-30</t>
  </si>
  <si>
    <t>DG5V-7-0C-K-M-U-H7-30</t>
  </si>
  <si>
    <t>DG5V-7-8C-K-VM-U-H7-30</t>
  </si>
  <si>
    <t>DG5V-7-3C-3-M-U-H7-30</t>
  </si>
  <si>
    <t>DG5V-7-2C-2-T-VM-U-H7-30</t>
  </si>
  <si>
    <t>DG5V-7-8C-E-VM-U-A6-30</t>
  </si>
  <si>
    <t>DG5V-7-2N-T-M-U-B6-30</t>
  </si>
  <si>
    <t>DG5V-7-52C-M-U-H7-30</t>
  </si>
  <si>
    <t>DG5V-7-2N-T-M-U-H7-30</t>
  </si>
  <si>
    <t>DG3V-5-6C-10</t>
  </si>
  <si>
    <t>DG5V-5-31C-T-10-EN55</t>
  </si>
  <si>
    <t>DG5V-5-6C-M-U-H7-10</t>
  </si>
  <si>
    <t>DG5V-5-6C-2-T-M-U-C6-10</t>
  </si>
  <si>
    <t>DG5V-5-6C-2-T-M-U-H7-10</t>
  </si>
  <si>
    <t>DG5V-7-2C-2-T-VM-U-D6-30</t>
  </si>
  <si>
    <t>DG3V-8-2A-10</t>
  </si>
  <si>
    <t>DG3V-8-2C-10</t>
  </si>
  <si>
    <t>DG3V-8-6C-10</t>
  </si>
  <si>
    <t>DG3V-8-9A-10</t>
  </si>
  <si>
    <t>DG5V-8-H-2C-T-M-U-H-10</t>
  </si>
  <si>
    <t>DG3V-5-2C-10</t>
  </si>
  <si>
    <t>DG5V-7-2A-1-M-U-H7-30</t>
  </si>
  <si>
    <t>DG5V-5-2C-2-T-M-U-C6-10</t>
  </si>
  <si>
    <t>DG5V-7-33A-K-M-U-B6-30</t>
  </si>
  <si>
    <t>DG5V-7-33C-2-T-M-U-C6-30</t>
  </si>
  <si>
    <t>DG5V-7-31C-M-U-H7-30</t>
  </si>
  <si>
    <t>DG3V-7-52C-1-20</t>
  </si>
  <si>
    <t>DG5V-7-6C-3-T-M-U-C6-30</t>
  </si>
  <si>
    <t>DG5V-7-0C-E-T-M-U-H7-30</t>
  </si>
  <si>
    <t>DG5V-5-52C-T-10-EN55</t>
  </si>
  <si>
    <t>DG5V-5-2A-2-M-U-H7-10</t>
  </si>
  <si>
    <t>DG5V-5-6C-2-M-U-A6-10</t>
  </si>
  <si>
    <t>DG5V-7-52C-2-E-T-M-U-H7-30</t>
  </si>
  <si>
    <t>DG5V-8-H-8C-S-VM-U-B-10</t>
  </si>
  <si>
    <t>DG5V-8-H-6C-T-M-U-A-10</t>
  </si>
  <si>
    <t>DG5V-8-H-2C-M-U-B-10</t>
  </si>
  <si>
    <t>DG5V-8-H-2C-M-U-H-10</t>
  </si>
  <si>
    <t>DG5V-8-H-2A-M-U-H-10</t>
  </si>
  <si>
    <t>DG5V-8-H-2N-T-M-U-H-10</t>
  </si>
  <si>
    <t>DG5V-8-H-8C-E-VM-U-D-10</t>
  </si>
  <si>
    <t>DG3V-8-52C-10</t>
  </si>
  <si>
    <t>DG3V-8-0C-10</t>
  </si>
  <si>
    <t>DG3V-8-9-2-10</t>
  </si>
  <si>
    <t>DG5V-8-H-8C-E-VM-U-H-10</t>
  </si>
  <si>
    <t>DG5V-8-H-33C-M-U-A-10</t>
  </si>
  <si>
    <t>DG5V-8-H-6C-E-T-M-U-H-10</t>
  </si>
  <si>
    <t>DG5V-8-H-6B-M-U-H-10</t>
  </si>
  <si>
    <t>DG5V-8-H-2C-T-M-U-B-10</t>
  </si>
  <si>
    <t>DG5V-8-H-6C-T-M-U-H-10</t>
  </si>
  <si>
    <t>DG5V-8-H-2A-T-M-U-H-10</t>
  </si>
  <si>
    <t>DG5V-8-H-6C-VM-U-A-10</t>
  </si>
  <si>
    <t>DG5V-8-H-2C-M-U-A-10</t>
  </si>
  <si>
    <t>DG5V-8-H-8C-VM-U-H-10</t>
  </si>
  <si>
    <t>DG5V-8-H-2C-3-M-U-H-10</t>
  </si>
  <si>
    <t>DG5V-8-H-31C-T-M-U-H-10</t>
  </si>
  <si>
    <t>DG5V-7-6C-3-T-M-U-H7-30</t>
  </si>
  <si>
    <t>DG5V-5-2N-2-T-VM-U-C6-10</t>
  </si>
  <si>
    <t>DG5V-5-2A-2-T-M-U-C6-60</t>
  </si>
  <si>
    <t>DG5V-7-6C-T-VM-U-H7-30</t>
  </si>
  <si>
    <t>DG5V-7-2C-2-T-M-U-C6-30</t>
  </si>
  <si>
    <t>DG5V-7-2C-T-M-U-D6-30</t>
  </si>
  <si>
    <t>DG5V-7-33C-T-M-U-A6-30</t>
  </si>
  <si>
    <t>DG5V-7-2A-1-T-M-U-H7-30</t>
  </si>
  <si>
    <t>DG5V-7-52C-E-T-M-U-HL7-30-A08-B06</t>
  </si>
  <si>
    <t>DG5V-7-2C-1-E-T-M-U-H7-30</t>
  </si>
  <si>
    <t>DG5V-7-6B-T-M-U-H7-30</t>
  </si>
  <si>
    <t>DG5V-7-6C-1-T-M-U-H7-30</t>
  </si>
  <si>
    <t>DG5V-5-2N-2-T-M-U-H7-10</t>
  </si>
  <si>
    <t>DG5V-7-6C-2-VM-U-H7-30</t>
  </si>
  <si>
    <t>DG5V-7-0N-M-U-H7-30</t>
  </si>
  <si>
    <t>DG5V-5-31C-T-M-U-H7-10</t>
  </si>
  <si>
    <t>DG5V-7-33C-2-E-T-M-U-H7-30</t>
  </si>
  <si>
    <t>DG5V-7-0C-2-E-M-U-H7-30</t>
  </si>
  <si>
    <t>DG5V-7-2AL-M-U-H7-30</t>
  </si>
  <si>
    <t>DG5V-7-2C-2-VM-U-H7-30</t>
  </si>
  <si>
    <t>DG5V-8-H-8C-E-VM-U-B-10</t>
  </si>
  <si>
    <t>DG5V-8-H-2A-E-M-U-H-10</t>
  </si>
  <si>
    <t>DG5V-8-H-6C-2-M-U-B-10</t>
  </si>
  <si>
    <t>DG5V-8-H-2A-2-M-U-B-10</t>
  </si>
  <si>
    <t>DG5V-8-H-3C-T-M-U-H-10</t>
  </si>
  <si>
    <t>DG5V-8-H-2C-E-M-U-H-10</t>
  </si>
  <si>
    <t>DG5V-8-H-6C-2-T-M-U-B-10</t>
  </si>
  <si>
    <t>DG5V-8-H-6C-M-U-H-10</t>
  </si>
  <si>
    <t>DG5V-8-H-2A-E-M-U-B-10</t>
  </si>
  <si>
    <t>DG5V-8-H-8C-E-T-VM-U-H-10</t>
  </si>
  <si>
    <t>DG5V-5-0C-2-E-M-U-C6-10</t>
  </si>
  <si>
    <t>DG5V-7-6C-VM-U-H7-30</t>
  </si>
  <si>
    <t>DG5V-7-0C-E-T-VM-U-H7-30</t>
  </si>
  <si>
    <t>DG5V-7-8C-VM-U-NN6-30</t>
  </si>
  <si>
    <t>DG3V-5-2C-2-10</t>
  </si>
  <si>
    <t>DG5V-7-0C-2-E-M-U-A6-30</t>
  </si>
  <si>
    <t>DG5V-7-2C-1-T-M-U-H7-30</t>
  </si>
  <si>
    <t>DG5V-7-2B-M-U-C6-30</t>
  </si>
  <si>
    <t>DG5V-7-2N-VM-U-H7-30</t>
  </si>
  <si>
    <t>DG5V-7-6C-2-T-VM-U-H7-30</t>
  </si>
  <si>
    <t>DG5V-7-2A-2-T-M-U-H7-30</t>
  </si>
  <si>
    <t>DG5V-5-1C-T-10-EN55</t>
  </si>
  <si>
    <t>DG5V-5-6C-E-T-M-U-H7-10</t>
  </si>
  <si>
    <t>DG5V-5-6C-2-T-M-U-KK6-10</t>
  </si>
  <si>
    <t>DG5V-7-33C-2-T-M-U-H7-30</t>
  </si>
  <si>
    <t>DG5V-7-2C-1-M-U-C6-30</t>
  </si>
  <si>
    <t>F3-DG5V-7-X33C-3-T-M-U-B6-30</t>
  </si>
  <si>
    <t>DG5V-5-2N-2-M-U-H7-10</t>
  </si>
  <si>
    <t>DG5V-5-6C-2-M-U-H7-10</t>
  </si>
  <si>
    <t>DG5V-5-2C-2-T-M-U-D6-10</t>
  </si>
  <si>
    <t>DG5V-7-2A-M-U-NN6-30</t>
  </si>
  <si>
    <t>DG5V-8-2C-X-T-10-EN55</t>
  </si>
  <si>
    <t>DG5V-8-6C-X-T-10-EN55</t>
  </si>
  <si>
    <t>DG5V-8-H-2N-M-U-B-10</t>
  </si>
  <si>
    <t>DG5V-8-H-2C-E-M-U-D-10</t>
  </si>
  <si>
    <t>DG5V-8-H-2A-M-U-B-10</t>
  </si>
  <si>
    <t>DG5V-8-2A-X-T-10-EN55</t>
  </si>
  <si>
    <t>DG5V-8-8C-X-T-10-EN55</t>
  </si>
  <si>
    <t>DG5V-8-H-2N-2-E-M-U-B-10</t>
  </si>
  <si>
    <t>DG5V-8-H-3C-M-U-H-10</t>
  </si>
  <si>
    <t>DG3V-8-2C-1-10</t>
  </si>
  <si>
    <t>DG5V-8-H-6C-2-T-M-U-H-10</t>
  </si>
  <si>
    <t>DG5V-8-H-2C-2-T-M-U-H-10</t>
  </si>
  <si>
    <t>DG5V-8-H-33C-2-M-U-B-10</t>
  </si>
  <si>
    <t>DG5V-8-H-2AL-T-M-U-H-10</t>
  </si>
  <si>
    <t>DG5V-8-H-2C-T-M-U-D-10</t>
  </si>
  <si>
    <t>DG5V-8-H-6C-E-M-U-H-10</t>
  </si>
  <si>
    <t>DG5V-8-H-2N-M-U-H-10</t>
  </si>
  <si>
    <t>DG5V-8-H-0A-E-M-U-H-10</t>
  </si>
  <si>
    <t>DG5V-8-H-0C-2-M-U-B-10</t>
  </si>
  <si>
    <t>DG5V-8-H-6C-T-M-U-B-10</t>
  </si>
  <si>
    <t>DG5V-8-H-2C-1-M-U-H-10</t>
  </si>
  <si>
    <t>DG5V-8-H-52C-M-U-H-10</t>
  </si>
  <si>
    <t>DG5V-8-H-2C-2-M-U-H-10</t>
  </si>
  <si>
    <t>DG5V-8-H-8C-2-S-VM-U-A-10</t>
  </si>
  <si>
    <t>DG5V-8-H-6C-2-M-U-H-10</t>
  </si>
  <si>
    <t>DG5V-8-H-6C-1-T-M-U-H-10</t>
  </si>
  <si>
    <t>DG5V-8-H-2A-2-T-M-U-H-10</t>
  </si>
  <si>
    <t>DG5V-8-H-3C-2-T-M-U-H-10</t>
  </si>
  <si>
    <t>DG5V-8-H-0C-M-U-C-10</t>
  </si>
  <si>
    <t>DG5V-8-H-2C-E-T-M-U-H-10</t>
  </si>
  <si>
    <t>DG5V-8-H-3C-T-M-U-B-10</t>
  </si>
  <si>
    <t>DG5V-7-0A-PPB-T-K-30-EN55</t>
  </si>
  <si>
    <t>DG5V-8-H-2N-2-M-U-H-10</t>
  </si>
  <si>
    <t>DG5V-8-H-2C-2-E-M-U-H-10</t>
  </si>
  <si>
    <t>DG5V-8-H-2C-3-M-U-C-10</t>
  </si>
  <si>
    <t>DG5V-8-H-6C-E-VM-U-H-10</t>
  </si>
  <si>
    <t>DG5V-8-H-0C-2-S-VM-U-H-10</t>
  </si>
  <si>
    <t>DG5V-8-H-0C-2-T-S-VM-U-H-10</t>
  </si>
  <si>
    <t>DG5V-8-H-1C-E-T-M-U-A-10</t>
  </si>
  <si>
    <t>DG5V-8-H-2A-M-U-C-10</t>
  </si>
  <si>
    <t>DG5V-8-H-2BL-M-U-H-10</t>
  </si>
  <si>
    <t>DG5V-8-H-2C-2-E-M-U-C-10</t>
  </si>
  <si>
    <t>DG5V-8-H-2C-3-T-M-U-H-10</t>
  </si>
  <si>
    <t>DG5V-8-H-2C-M-U-C-10</t>
  </si>
  <si>
    <t>DG5V-8-H-2C-T-M-U-C-10</t>
  </si>
  <si>
    <t>DG5V-8-H-2C-VM-U-H-10</t>
  </si>
  <si>
    <t>DG5V-8-H-33C-E-M-U-H-10</t>
  </si>
  <si>
    <t>DG5V-8-H-3C-2-M-U-H-10</t>
  </si>
  <si>
    <t>DG5V-8-H-52C-2-M-U-H-10</t>
  </si>
  <si>
    <t>DG5V-8-H-6C-2-E-M-U-A-10</t>
  </si>
  <si>
    <t>DG5V-8-H-31C-M-U-H-10</t>
  </si>
  <si>
    <t>DG5V-8-0C-X-T-10-EN55</t>
  </si>
  <si>
    <t>DG5V-8-33C-X-T-10-EN55</t>
  </si>
  <si>
    <t>DG5V-8-H-3C-E-M-U-H-10</t>
  </si>
  <si>
    <t>DG5V-8-H-6C-3-T-M-U-H-10</t>
  </si>
  <si>
    <t>DG5V-8-H-6C-M-U-C-10</t>
  </si>
  <si>
    <t>DG5V-8-H-6C-T-VM-U-H-10</t>
  </si>
  <si>
    <t>DG5V-8-H-8C-2-S-VM-U-C-10</t>
  </si>
  <si>
    <t>DG5V-8-H-8C-E-VM-U-C-10</t>
  </si>
  <si>
    <t>DG5V-8-H-8C-K-VM-U-H-10</t>
  </si>
  <si>
    <t>DG5V-8-H-8C-VM-U-C-10</t>
  </si>
  <si>
    <t>DG5V-8-H-2A-E-T-M-U-B-10</t>
  </si>
  <si>
    <t>DG5V-8-2A-10-EN55</t>
  </si>
  <si>
    <t>DG5V-8-2C-10-EN55</t>
  </si>
  <si>
    <t>DG5V-8-0C-10-EN55</t>
  </si>
  <si>
    <t>DG5V-8-6C-10-EN55</t>
  </si>
  <si>
    <t>DG5V-8-8C-10-EN55</t>
  </si>
  <si>
    <t>DG5V-8-0A-10-EN55</t>
  </si>
  <si>
    <t>DG5V-8-8C-X-T-S-10-EN55</t>
  </si>
  <si>
    <t>DG5V-7-9C-E-M-U-H7-30-IT19</t>
  </si>
  <si>
    <t>DG5V-7-6N-VM-U-H7-30</t>
  </si>
  <si>
    <t>DG5V-7-Y2A-1-T-30-EN55</t>
  </si>
  <si>
    <t>DG5V-7-0C-T-K-M-U-H7-30</t>
  </si>
  <si>
    <t>DG5V-7-2C-PCD-E-Z-VM-U-H7-30</t>
  </si>
  <si>
    <t>DG5V-7-2C-T-VM-U-A6-30</t>
  </si>
  <si>
    <t>DG5V-7-33C-1-T-VM-U-A6-30</t>
  </si>
  <si>
    <t>DG5V-5-521C-T-M-U-H7-10</t>
  </si>
  <si>
    <t>DG5V-7-2AL-T-M-U-H7-30</t>
  </si>
  <si>
    <t>DG5V-7-33C-1-T-M-U-H7-30</t>
  </si>
  <si>
    <t>DG5V-7-6BL-T-M-U-H7-30</t>
  </si>
  <si>
    <t>DG5V-7-6C-2-E-M-U-H7-30</t>
  </si>
  <si>
    <t>DG5V-5-6C-2-M-U-C6-10</t>
  </si>
  <si>
    <t>DG5V-5-2A-M-U-H7-10</t>
  </si>
  <si>
    <t>DG5V-5-2C-M-U-H7-10</t>
  </si>
  <si>
    <t>DG5V-5-2N-E-M-U-H7-10</t>
  </si>
  <si>
    <t>DG5V-5-6C-T-VM-U-H7-10</t>
  </si>
  <si>
    <t>DG5V-5-6C-VM-U-H7-10</t>
  </si>
  <si>
    <t>DG5V-7-2A-T-VM-U-H7-30</t>
  </si>
  <si>
    <t>DG5V-7-2C-3-T-M-U-H7-30</t>
  </si>
  <si>
    <t>DG5V-7-2N-2-M-U-H7-30</t>
  </si>
  <si>
    <t>DG5V-7-2N-2-T-VM-U-H7-30</t>
  </si>
  <si>
    <t>DG5V-7-33C-E-M-U-H7-30</t>
  </si>
  <si>
    <t>DG5V-5-2N-T-M-U-C6-10</t>
  </si>
  <si>
    <t>DG5V-7-2C-3-T-VM-U-H7-30</t>
  </si>
  <si>
    <t>DG5V-7-0N-E-M-U-H7-30</t>
  </si>
  <si>
    <t>DG5V-5-0C-M-U-H7-10</t>
  </si>
  <si>
    <t>DG5V-7-8C-E-T-VM-U-H7-30</t>
  </si>
  <si>
    <t>DG5V-5-6C-E-M-U-H7-10</t>
  </si>
  <si>
    <t>DG5V-5-2C-T-VM-U-H7-10</t>
  </si>
  <si>
    <t>DG5V-7-52C-3-E-M-U-H7-30</t>
  </si>
  <si>
    <t>DG5V-5-2C-M-U-A6-10</t>
  </si>
  <si>
    <t>DG5V-5-33C-T-M-U-H7-10</t>
  </si>
  <si>
    <t>DG5V-5-33C-2-T-M-U-H7-10</t>
  </si>
  <si>
    <t>DG5V-7-0A-E-T-M-U-H7-30</t>
  </si>
  <si>
    <t>DG5V-7-2C-T-VM-U-H7-30</t>
  </si>
  <si>
    <t>DG5V-7-2A-VM-U-H7-30</t>
  </si>
  <si>
    <t>DG5V-7-31C-E-T-M-U-C6-30</t>
  </si>
  <si>
    <t>DG5V-7-6C-2-E-VM-U-H7-30</t>
  </si>
  <si>
    <t>DG5V-7-52C-2-M-U-H7-30</t>
  </si>
  <si>
    <t>DG5V-7-33N-M-U-B6-30</t>
  </si>
  <si>
    <t>DG5V-5-2N-M-U-H7-10</t>
  </si>
  <si>
    <t>DG5V-7-2N-K-M-U-H7-30</t>
  </si>
  <si>
    <t>DG5V-7-8C-2-K-VM-U-H7-30</t>
  </si>
  <si>
    <t>DG5V-5-6C-2-E-M-U-C6-10</t>
  </si>
  <si>
    <t>DG5V-8-H-0C-M-U-H-10</t>
  </si>
  <si>
    <t>DG5V-8-H-2C-T-K-M-U-H-10</t>
  </si>
  <si>
    <t>DG5V-8-H-2C-3-T-M-U-C-10</t>
  </si>
  <si>
    <t>DG5V-7-6C-2-T-H-M-U-SA7-30</t>
  </si>
  <si>
    <t>DG5V-8-H-6C-H-2-T-M-U-SA-10</t>
  </si>
  <si>
    <t>DG5V-7-2A-T-M-U-NN6-30</t>
  </si>
  <si>
    <t>DGMA-3-C1-10</t>
  </si>
  <si>
    <t>DG5V-7-2A-PPD-T-30-EN55</t>
  </si>
  <si>
    <t>DG5V-7-6C-2-VM-U-H7-30-P10</t>
  </si>
  <si>
    <t>DG5V-5-33C-2-M-U-H7-10</t>
  </si>
  <si>
    <t>DG5V-7-2C-2-VM-U-H7-30-P</t>
  </si>
  <si>
    <t>DG5V-7-6C-2-M-U-SA7-30</t>
  </si>
  <si>
    <t>DG5V-7-33C-2-M-U-SA7-30</t>
  </si>
  <si>
    <t>DG5V-8-H-6C-2-M-U-SA-10</t>
  </si>
  <si>
    <t>DG5V-8-H-6C-2-T-M-U-SA-10</t>
  </si>
  <si>
    <t>DG5V-7-6C-2-T-M-U-SA7-30</t>
  </si>
  <si>
    <t>DG5V-7-33C-2-T-M-U-SA7-30</t>
  </si>
  <si>
    <t>DG5V-8-H-33C-2-T-M-U-SA-10</t>
  </si>
  <si>
    <t>DG5V-8-H-9C-2-T-S-VM-U-H-P10-10</t>
  </si>
  <si>
    <t>DG5V-5-2A-PPB-E-M-U-H7-10</t>
  </si>
  <si>
    <t>DG5V-8-H-52C-T-M-U-H-P10-10</t>
  </si>
  <si>
    <t>DG5V-5-52C-PPD-T-M-U-H7-10</t>
  </si>
  <si>
    <t>BKDG H8 M (6 OFF BOLT 473810)</t>
  </si>
  <si>
    <t>DG5V-5-2C-2-M-U-H7-10</t>
  </si>
  <si>
    <t>DG5V-5-2N-T-M-U-H7-10</t>
  </si>
  <si>
    <t>DG5V-5-2N-T-VM-U-H7-10</t>
  </si>
  <si>
    <t>DG5V-5-0C-2-M-U-H7-10</t>
  </si>
  <si>
    <t>DG5V-5-2A-E-T-M-U-C6-10</t>
  </si>
  <si>
    <t>DG5V-5-2BL-2-E-M-U-H7-10</t>
  </si>
  <si>
    <t>DG5V-7-31C-2-M-U-H7-30</t>
  </si>
  <si>
    <t>DG5V-7-0C-E-VM-U-B6-30</t>
  </si>
  <si>
    <t>DG5V-7-2A-2-T-VM-U-H7-30</t>
  </si>
  <si>
    <t>DG5V-7-6A-T-M-U-H7-30</t>
  </si>
  <si>
    <t>DG5V-7-6BL-T-VM-U-H7-30</t>
  </si>
  <si>
    <t>DG5V-7-2N-3-T-M-U-H7-30</t>
  </si>
  <si>
    <t>DG5V-7-2AL-2-T-M-U-H7-30</t>
  </si>
  <si>
    <t>DG5V-7-X33C-3-T-M-U-H7-30</t>
  </si>
  <si>
    <t>DG5V-7-33C-2-E-M-U-D6-30</t>
  </si>
  <si>
    <t>DG5V-7-2C-PCA-VM-U-H7-30</t>
  </si>
  <si>
    <t>DG5V-7-0C-E-T-M-FW-B6-30</t>
  </si>
  <si>
    <t>DG5V-7-2C-T-M-FW-B6-30</t>
  </si>
  <si>
    <t>DG5V-7-52BL-2-E-T-M-U-H7-30</t>
  </si>
  <si>
    <t>DG5V-7-2AL-VM-U-B6-30</t>
  </si>
  <si>
    <t>DG5V-7-0BL-T-K-M-U-H7-30</t>
  </si>
  <si>
    <t>DG5V-7-8C-H-VM-U-H7-30</t>
  </si>
  <si>
    <t>DG5V-7-31B-E-M-U-H7-30</t>
  </si>
  <si>
    <t>DG5V-7-2AL-2-T-VM-U-H7-30</t>
  </si>
  <si>
    <t>DG5V-7-9C-T-K-M-U-H7-30</t>
  </si>
  <si>
    <t>DG5V-7-2AL-E-M-U-H7-30</t>
  </si>
  <si>
    <t>DG5V-8-H-6C-M-U-D-10</t>
  </si>
  <si>
    <t>DG5V-8-H-33C-T-M-U-H-10</t>
  </si>
  <si>
    <t>DG5V-8-H-8C-T-S-VM-U-H-10</t>
  </si>
  <si>
    <t>DG5V-8-H-2N-T-M-U-B-10</t>
  </si>
  <si>
    <t>DG5V-8-H-3C-M-U-B-10</t>
  </si>
  <si>
    <t>DG5V-8-H-2A-T-M-U-B-10</t>
  </si>
  <si>
    <t>DG5V-8-H-8C-S-VM-U-H-10</t>
  </si>
  <si>
    <t>DG5V-8-H-2N-3-M-U-H-10</t>
  </si>
  <si>
    <t>DG5V-8-H-6C-S-M-U-H-10</t>
  </si>
  <si>
    <t>DG5V-8-H-6C-2-VM-U-H-10</t>
  </si>
  <si>
    <t>DG5V-8-H-6C-M-U-A-10</t>
  </si>
  <si>
    <t>DG5V-8-H-33C-2-T-M-U-H-10</t>
  </si>
  <si>
    <t>DG5V-8-H-6C-VM-U-H-10</t>
  </si>
  <si>
    <t>DG5V-8-H-2AL-2-E-VM-U-A-10</t>
  </si>
  <si>
    <t>DG5V-8-H-3C-M-U-A-10</t>
  </si>
  <si>
    <t>DG5V-8-H-6C-E-M-U-C-10</t>
  </si>
  <si>
    <t>DG5V-8-H-31C-E-M-U-H-10</t>
  </si>
  <si>
    <t>F3-DG5V-8-H-2A-M-U-D-10</t>
  </si>
  <si>
    <t>DG5V-8-H-9C-E-VM-U-C-10</t>
  </si>
  <si>
    <t>DG5V-8-H-2C-1-T-M-U-H-10</t>
  </si>
  <si>
    <t>DG5V-8-H-2A-3-T-M-U-C-10</t>
  </si>
  <si>
    <t>DG5V-8-H-9C-E-M-U-A-10</t>
  </si>
  <si>
    <t>DG5V-8-H-2A-3-M-U-C-10</t>
  </si>
  <si>
    <t>DG5V-8-H-6C-3-M-U-H-10</t>
  </si>
  <si>
    <t>DG5V-8-H-6C-T-M-U-C-10</t>
  </si>
  <si>
    <t>DG5V-8-H-0C-2-E-M-U-D-10</t>
  </si>
  <si>
    <t>DG5V-8-H-6C-2-VM-U-A-10</t>
  </si>
  <si>
    <t>DG5V-8-H-6C-X-M-U-H-10</t>
  </si>
  <si>
    <t>DG5V-8-H-3C-1-M-U-H-10</t>
  </si>
  <si>
    <t>DG5V-8-H-0C-2-E-M-U-C-10</t>
  </si>
  <si>
    <t>DG5V-8-H-33C-VM-U-H-10</t>
  </si>
  <si>
    <t>DG5V-8-H-33C-3-T-M-U-C-10</t>
  </si>
  <si>
    <t>DG5V-8-H-2A-2-E-K-M-U-C-10</t>
  </si>
  <si>
    <t>DG5V-8-H-33C-1-T-M-U-H-10</t>
  </si>
  <si>
    <t>DG5V-8-H-6C-3-E-M-U-A-10</t>
  </si>
  <si>
    <t>DG5V-8-H-33C-3-T-M-U-H-10</t>
  </si>
  <si>
    <t>DG5V-8-H-2A-2-M-U-C-10</t>
  </si>
  <si>
    <t>DG5V-8-H-9A-E-M-U-B-10</t>
  </si>
  <si>
    <t>DG5V-8-H-2N-T-K-M-U-H-10</t>
  </si>
  <si>
    <t>DG5V-8-H-6C-3-M-U-A-10</t>
  </si>
  <si>
    <t>DG5V-8-H-33C-1-M-U-H-10</t>
  </si>
  <si>
    <t>DG5V-8-H-6C-3-T-M-U-A-10</t>
  </si>
  <si>
    <t>DG5V-8-H-9A-M-U-C-10</t>
  </si>
  <si>
    <t>DG5V-8-H-6C-2-E-M-U-H-10</t>
  </si>
  <si>
    <t>DG5V-8-H-2A-2-K-M-U-C-10</t>
  </si>
  <si>
    <t>DG5V-8-H-6C-1-M-U-A-10</t>
  </si>
  <si>
    <t>DG5V-8-H-2A-E-M-U-C-10</t>
  </si>
  <si>
    <t>DG5V-8-H-7C-E-M-U-H-10</t>
  </si>
  <si>
    <t>DG5V-8-H-2C-T-M-U-A-10</t>
  </si>
  <si>
    <t>DG5V-8-H-521C-1-T-M-U-HL-10</t>
  </si>
  <si>
    <t>DG5V-8-H-52C-2-E-T-M-U-H-10</t>
  </si>
  <si>
    <t>DG5V-8-H-2C-3-E-M-U-A-10</t>
  </si>
  <si>
    <t>DG5V-8-H-2A-8-T-K-M-U-H-10</t>
  </si>
  <si>
    <t>DG5V-8-H-6B-8-M-U-H-10</t>
  </si>
  <si>
    <t>DG5V-8-H-33C-1-T-S-VM-U-H-10</t>
  </si>
  <si>
    <t>DG5V-8-H-2A-2-T-M-U-C-10</t>
  </si>
  <si>
    <t>DG5V-8-H-2C-PCA-VM-U-H-10</t>
  </si>
  <si>
    <t>DG5V-8-H-2C-1-T-K-M-U-H-10</t>
  </si>
  <si>
    <t>DG5V-8-H-2C-3-M-U-A-10</t>
  </si>
  <si>
    <t>DG5V-8-H-31C-T-M-U-C-10</t>
  </si>
  <si>
    <t>DG5V-8-H-9C-2-T-S-M-U-H-10</t>
  </si>
  <si>
    <t>F3-DG5V-8-H-2C-M-U-D-10</t>
  </si>
  <si>
    <t>F3-DG5V-8-H-6C-M-U-D-10</t>
  </si>
  <si>
    <t>DG5V-8-H-2C-T-M-U6-H-10</t>
  </si>
  <si>
    <t>DG5V-8-H-8C-PCA-E-VM-U-H-10</t>
  </si>
  <si>
    <t>DG5V-5-6C-T-M-U-H7-10</t>
  </si>
  <si>
    <t>DG5V-5-2C-T-10-EN55</t>
  </si>
  <si>
    <t>DG3V-7-2A-20</t>
  </si>
  <si>
    <t>DG5V-5-6B-T-M-U-H7-10</t>
  </si>
  <si>
    <t>DG5V-5-0C-T-10-EN55</t>
  </si>
  <si>
    <t>DG5V-5-2A-M-U-C6-10</t>
  </si>
  <si>
    <t>DG5V-5-6C-T-M-U-A6-10</t>
  </si>
  <si>
    <t>DG3V-7-0A-20</t>
  </si>
  <si>
    <t>DG5V-5-6C-T-M-U-C6-10</t>
  </si>
  <si>
    <t>DG5V-5-2A-T-M-U-C6-10</t>
  </si>
  <si>
    <t>DG5V-5-33C-T-10-EN55</t>
  </si>
  <si>
    <t>DG5V-5-8C-T-10-EN55-EN89</t>
  </si>
  <si>
    <t>DG5V-5-2A-T-M-U-B6-10</t>
  </si>
  <si>
    <t>DG5V-5-2C-1-T-10-EN55</t>
  </si>
  <si>
    <t>DG5V-5-8C-E-VM-U-H7-10-EN89</t>
  </si>
  <si>
    <t>DG5V-5-6C-M-U-C6-10</t>
  </si>
  <si>
    <t>DG5V-5-2A-M-U-B6-10</t>
  </si>
  <si>
    <t>DG5V-5-0C-E-M-U-D6-10</t>
  </si>
  <si>
    <t>DG5V-5-6C-M-U-B6-10</t>
  </si>
  <si>
    <t>DG5V-5-6C-T-M-U-B6-10</t>
  </si>
  <si>
    <t>DG5V-5-8C-VM-U-H7-10-EN89</t>
  </si>
  <si>
    <t>DG5V-5-0A-M-U-C6-10</t>
  </si>
  <si>
    <t>DG5V-5-Y2C-1-T-M-U-H7-10</t>
  </si>
  <si>
    <t>DG5V-5-6C-T-VM-U-C6-60</t>
  </si>
  <si>
    <t>DG5V-5-2C-PCD-T-10-EN55</t>
  </si>
  <si>
    <t>DG5V-7-35A-PPA-E-Z-VM-U-H7-30-EN600</t>
  </si>
  <si>
    <t>DG5V-7-35A-PPA-T-30-EN55</t>
  </si>
  <si>
    <t>DG3V-5-2A-10</t>
  </si>
  <si>
    <t>DG5V-5-6C-1-T-10-EN55</t>
  </si>
  <si>
    <t>DG5V-5-6C-2-T-M-U-D6-10</t>
  </si>
  <si>
    <t>DG5V-5-2A-T-M-U-H7-10</t>
  </si>
  <si>
    <t>DG5V-5-0A-E-T-M-U-H7-10</t>
  </si>
  <si>
    <t>DG5V-5-8B-E-VM-U-H7-10-EN89</t>
  </si>
  <si>
    <t>DG5V-5-2A-E-M-U-H7-10</t>
  </si>
  <si>
    <t>DG5V-5-6C-T-VM-U-D6-10</t>
  </si>
  <si>
    <t>DG5V-5-0A-T-M-U-H7-10</t>
  </si>
  <si>
    <t>DG5V-5-6A-T-M-U-H7-10</t>
  </si>
  <si>
    <t>DG5V-5-0C-E-T-M-U-H7-10</t>
  </si>
  <si>
    <t>DG5V-5-2B-M-U-H7-10</t>
  </si>
  <si>
    <t>DG5V-5-0C-M-U-C6-10</t>
  </si>
  <si>
    <t>DG5V-5-35A-PPA-E-Z-VM-U-H7-10-EN600</t>
  </si>
  <si>
    <t>DG5V-5-33C-M-U-H7-10</t>
  </si>
  <si>
    <t>DG5V-5-2C-M-U-C6-10</t>
  </si>
  <si>
    <t>DG5V-5-2A-T-M-U-NN6-10</t>
  </si>
  <si>
    <t>DG5V-5-X2C-3-T-M-U-H7-10</t>
  </si>
  <si>
    <t>DG5V-5-8C-E-VM-U-C6-10-EN89</t>
  </si>
  <si>
    <t>DG5V-5-2C-T-M-U-A6-10</t>
  </si>
  <si>
    <t>KFDG4V-3-2C03F-Z-VM-U1-H7-20</t>
  </si>
  <si>
    <t>KDG4V-5-2C70N-Z-M-U-H7-30</t>
  </si>
  <si>
    <t>KDG4V-3S-33C08A-M-U-H5-60</t>
  </si>
  <si>
    <t>KTG4V-3S-2B19N-M-U-H5-60</t>
  </si>
  <si>
    <t>KDG4V-3S-33C15A-M-U-H5-60</t>
  </si>
  <si>
    <t>KDG4V-3S-2C08N-M-U-H5-60</t>
  </si>
  <si>
    <t>KDG4V-5-2C50N25-Z-M-U-H7-30</t>
  </si>
  <si>
    <t>KDG4V-5-33C50N25-Z-M-U-H7-30</t>
  </si>
  <si>
    <t>KFDG4V-3-2C20N10-Z-M-U1-H7-20</t>
  </si>
  <si>
    <t>KFDG4V-5-2C50N25-Z-M-U1-H7-20</t>
  </si>
  <si>
    <t>KFDG4V-5-33C50N25-Z-M-U1-H7-20</t>
  </si>
  <si>
    <t>KDG4V-3S-33C22A-M-U-H5-60</t>
  </si>
  <si>
    <t>KCG-3-40-D-Z-M-U-H1-10</t>
  </si>
  <si>
    <t>KCG-3-100-D-Z-M-U-H1-10</t>
  </si>
  <si>
    <t>KCG-3-250-D-Z-M-U-G1-10</t>
  </si>
  <si>
    <t>KCG-3-350-D-Z-M-U-G1-10</t>
  </si>
  <si>
    <t>KCG-3-160-D-Z-M-U-H1-10</t>
  </si>
  <si>
    <t>KCG-3-250-D-Z-M-U-H1-10</t>
  </si>
  <si>
    <t>KCG-3-350-D-Z-M-U-H1-10</t>
  </si>
  <si>
    <t>KCG-3-350-D-Z-M-U-HL1-10</t>
  </si>
  <si>
    <t>KCG-3-L250-D-Z-M-U-H1-10</t>
  </si>
  <si>
    <t>KCG-3-L350-D-Z-M-U-H1-10</t>
  </si>
  <si>
    <t>KHDG5V-7-33C130N65-EX-VM-U1-H1-20</t>
  </si>
  <si>
    <t>KDG4V-3-2C20N-Z-M-U-H7-60</t>
  </si>
  <si>
    <t>KDG4V-3-33C20N-Z-M-U-H7-60</t>
  </si>
  <si>
    <t>KDG4V-3-2C13N-Z-M-U-H7-60</t>
  </si>
  <si>
    <t>KDG4V-3-2C07N-Z-M-U-H7-60</t>
  </si>
  <si>
    <t>KTG4V-3-2B20N-Z-M-U-H7-60</t>
  </si>
  <si>
    <t>KCG-3-250-D-Z-M-U-HL1-10</t>
  </si>
  <si>
    <t>KDG4V-3-2C03F-Z-M-U-H7-60</t>
  </si>
  <si>
    <t>KDG4V-3-2C28S-Z-M-U-H7-60</t>
  </si>
  <si>
    <t>KDG4V-3-33C03F-Z-M-U-H7-60</t>
  </si>
  <si>
    <t>KDG4V-3-33C07N-Z-M-U-H7-60</t>
  </si>
  <si>
    <t>KDG4V-3-33C13N-Z-M-U-H7-60</t>
  </si>
  <si>
    <t>KTG4V-3-2B07N-Z-M-U-H7-60</t>
  </si>
  <si>
    <t>KTG4V-3-2B13N-Z-M-U-H7-60</t>
  </si>
  <si>
    <t>KCG-3-160-D-Z-M-U-HL1-10</t>
  </si>
  <si>
    <t>KDG4V-3-33C30X-H-M-U-H7-60</t>
  </si>
  <si>
    <t>KDG4V-5-2C65S-H-M-U-H6-30</t>
  </si>
  <si>
    <t>KDG4V-5-2C65S-Z-M-U1-H6-30</t>
  </si>
  <si>
    <t>KFDG4V-5-2C70N-Z-M-U-H7-20</t>
  </si>
  <si>
    <t>KDG5V-7-2C180N-EX-H-M-U-H1-10</t>
  </si>
  <si>
    <t>KCG-3-40-D-Z-M-U-HL1-10</t>
  </si>
  <si>
    <t>KCG-3-100-D-Z-M-U-HL1-10</t>
  </si>
  <si>
    <t>KDG5V-5-2C90N-EX-H-M-U-H1-10</t>
  </si>
  <si>
    <t>KDG5V-7-2C180N-X-H-M-U-H1-10</t>
  </si>
  <si>
    <t>KCG-3-160-D-Z-M-U-HL1-10-P15-T13</t>
  </si>
  <si>
    <t>KDG4V-3-33C13N-Z-VM-U-H7-60</t>
  </si>
  <si>
    <t>KTG4V-3-2B03F-Z-M-U-H7-60</t>
  </si>
  <si>
    <t>KFDG4V-5-2C30N-Z-M-U1-H7-20</t>
  </si>
  <si>
    <t>KDG4V-3-2C28S-H-M-U-H7-60</t>
  </si>
  <si>
    <t>KDG4V-3-33C20N-H-M-U-HA7-60</t>
  </si>
  <si>
    <t>KDG4V-3-2C20N-H-M-U-H7-60</t>
  </si>
  <si>
    <t>KDG4V-3-33C13N-H-M-U-H7-60</t>
  </si>
  <si>
    <t>KDG4V-3-2C13N-H-M-U-H7-60</t>
  </si>
  <si>
    <t>KDG4V-3-33C20N-H-M-U-H7-60</t>
  </si>
  <si>
    <t>KCG-3-L160-D-Z-M-U-HL1-10-P15-T13</t>
  </si>
  <si>
    <t>KDG4V-3-33C07N-H-M-U-HA7-60</t>
  </si>
  <si>
    <t>KDG4V-3-33C13N-H-M-U-HA7-60</t>
  </si>
  <si>
    <t>KDG4V-5-33C50N-H-M-U-H7-30</t>
  </si>
  <si>
    <t>KDG4V-3-2C20N-M-U-H7-60</t>
  </si>
  <si>
    <t>KDG5V-7-33C170N-EX-H-M-U-H1-10</t>
  </si>
  <si>
    <t>KDG5V-7-2C180N100-EX-H-M-U-H1-10</t>
  </si>
  <si>
    <t>KDG5V-5-33C80N-EX-H-M-U-H1-10</t>
  </si>
  <si>
    <t>KDG4V-3S-2C19N-H-M-U-G5-60</t>
  </si>
  <si>
    <t>KDG4V-3S-2C19N-M-U1-H5-60</t>
  </si>
  <si>
    <t>KDG4V-3S-2C19N-M-U-H5-60</t>
  </si>
  <si>
    <t>KDG4V-3S-33C08A-H-M-U-H5-60</t>
  </si>
  <si>
    <t>KTG4V-3S-2B15N-M-U-H5-60</t>
  </si>
  <si>
    <t>KDG4V-3S-2C08N-M-U-G5-60</t>
  </si>
  <si>
    <t>KCG-3-L40-D-Z-M-U-H1-10</t>
  </si>
  <si>
    <t>KCG-3-L100-D-Z-M-U-H1-10-P18-T15</t>
  </si>
  <si>
    <t>KCG-3-L250-D-Z-M-U-H1-10-P15-T13</t>
  </si>
  <si>
    <t>KCG-3-L350-D-Z-M-U-H1-10-P15-T13</t>
  </si>
  <si>
    <t>KCG-3-L100-D-Z-M-U-H1-10</t>
  </si>
  <si>
    <t>KCG-3-L160-D-Z-M-U-H1-10-P15-T14</t>
  </si>
  <si>
    <t>KSDG4V-3-92L-40-M-U1-H7-11</t>
  </si>
  <si>
    <t>KDG5V-7-33C170N-H-M-U-H1-10</t>
  </si>
  <si>
    <t>KDG4V-3-33C20N-M-U-H7-60</t>
  </si>
  <si>
    <t>KDG4V-3-33C20N-Z-VM-U-H7-60</t>
  </si>
  <si>
    <t>KTG4V-3-2B20N-Z-M-U-HA7-60</t>
  </si>
  <si>
    <t>KTG4V-3-2B13N-Z-VM-U-H7-60</t>
  </si>
  <si>
    <t>KHDG5V-7-2C150N85-X-VM-U1-H1-20</t>
  </si>
  <si>
    <t>KDG4V-3-2C28S-Z-M-U-HA7-60</t>
  </si>
  <si>
    <t>KCG-3-L160-D-Z-M-U-HL1-10-P15-T10</t>
  </si>
  <si>
    <t>KCG-3-L160-D-Z-M-U-H1-10-P15-T10</t>
  </si>
  <si>
    <t>KCG-3-L250-D-Z-M-U-H1-10-P15-T10</t>
  </si>
  <si>
    <t>KCG-3-L350-D-Z-M-U-H1-10-P15-T10</t>
  </si>
  <si>
    <t>KCG-3-L160-D-Z-M-U-H1-10-P15-T12</t>
  </si>
  <si>
    <t>KCG-3-L250-D-Z-M-U-H1-10-P15-T12</t>
  </si>
  <si>
    <t>KTG4V-3-2B28S-Z-M-U-H7-60</t>
  </si>
  <si>
    <t>KTG4V-3-2B07N-H-M-U-H7-60</t>
  </si>
  <si>
    <t>KCG-3-250-D-Z-M-U-HA1-10</t>
  </si>
  <si>
    <t>KCG-3-350-D-Z-M-U-HA1-10</t>
  </si>
  <si>
    <t>KDG4V-3-2C13N-Z-VM-U-H7-60</t>
  </si>
  <si>
    <t>KCG-3-250-D-Z-M-U-HL1-10-P15-T13</t>
  </si>
  <si>
    <t>KDG4V-5-33C50N-H-M-U-HA7-30</t>
  </si>
  <si>
    <t>KDG4V-5-33C30N-H-M-U-HA7-30</t>
  </si>
  <si>
    <t>KDG4V-3-33C30X-M-U-HA7-60</t>
  </si>
  <si>
    <t>KFDG4V-5-2C50N-Z-M-U-H7-20</t>
  </si>
  <si>
    <t>KDG4V-3-2C13N-M-U-H7-60</t>
  </si>
  <si>
    <t>KDG3V-5-2C90N-E-10</t>
  </si>
  <si>
    <t>KDG3V-5-33C80N-E-10</t>
  </si>
  <si>
    <t>KDG3V-7-2C180N-E-10</t>
  </si>
  <si>
    <t>KDG3V-7-33C170N-E-10</t>
  </si>
  <si>
    <t>KDG4V-3-2C20N-Z-M-U-G7-60</t>
  </si>
  <si>
    <t>KCG-3-250-D-Z-M-U-HL1-10-P15-T10</t>
  </si>
  <si>
    <t>KDG4V-5-2C30N-M-U-H7-30</t>
  </si>
  <si>
    <t>KDG4V-5-2C50N-M-U-H7-30</t>
  </si>
  <si>
    <t>KDG4V-5-2C65S-M-U-H6-30</t>
  </si>
  <si>
    <t>KDG4V-5-33C30N-M-U-H7-30</t>
  </si>
  <si>
    <t>KDG4V-5-33C50N-M-U-H7-30</t>
  </si>
  <si>
    <t>KDG4V-3-33C30X-M-U-H7-60</t>
  </si>
  <si>
    <t>KSDG4V-3-92L-12-M-U1-H7-11</t>
  </si>
  <si>
    <t>KSDG4V-3-92L-24-M-U1-H7-11</t>
  </si>
  <si>
    <t>KDG4V-3-33C30X-Z-M-U-H7-60</t>
  </si>
  <si>
    <t>KDG5V-5-2C90N-Z-M-U-H1-10</t>
  </si>
  <si>
    <t>KCG-3-L100-D-Z-M-U-H1-10-P15-T14</t>
  </si>
  <si>
    <t>KDG4V-3-2C20N-Z-VM-U-H7-60</t>
  </si>
  <si>
    <t>KDG5V-5-33C80N-E-Z-M-U-H1-10</t>
  </si>
  <si>
    <t>KCG-3-L250-D-Z-M-U-HL1-10-P15-T10</t>
  </si>
  <si>
    <t>KDG4V-3-2C20N-Z-M-U-HA7-60</t>
  </si>
  <si>
    <t>KDG5V-7-33C170N-X-H-M-U-H1-10</t>
  </si>
  <si>
    <t>KDG4V-3-2C13N-Z-M-U-HA7-60</t>
  </si>
  <si>
    <t>KTG4V-3-2B20N-M-U-H7-60</t>
  </si>
  <si>
    <t>KSDG4V-3-92L-05-M-U1-H7-11</t>
  </si>
  <si>
    <t>KTG4V-3-33B07N-Z-M-U-H7-60</t>
  </si>
  <si>
    <t>KDG4V-3S-33C15A-H-M-U-H5-60</t>
  </si>
  <si>
    <t>KFDG4V-5-33C50N-Z-M-U-H7-20</t>
  </si>
  <si>
    <t>KCG-3-L160D-Z-M-U-H1-10</t>
  </si>
  <si>
    <t>KHDG5V-7-5C200N-EX-VM-U1-H1-20</t>
  </si>
  <si>
    <t>KDG4V-3-2C28S-M-U-H7-60</t>
  </si>
  <si>
    <t>KDG4V-5-2C30N-H-M-U-H7-30</t>
  </si>
  <si>
    <t>KDG4V-5-33C30N-H-M-U-H7-30</t>
  </si>
  <si>
    <t>KSDG4V-3-96L-40-M-U1-H7-11</t>
  </si>
  <si>
    <t>KSDG4V-3-96L-24-M-U1-H7-11</t>
  </si>
  <si>
    <t>KTG4V-3-2B13N-Z-M-U-HA7-60</t>
  </si>
  <si>
    <t>KDG4V-3-33C07N-H-M-U-H7-60</t>
  </si>
  <si>
    <t>KCG-3-L100D-Z-M-U-HL1-10P15-T14</t>
  </si>
  <si>
    <t>KDG4V-3-33C30X-H-M-U-HA7-60</t>
  </si>
  <si>
    <t>KDG4V-3-33C03F-H-M-U-HA7-60</t>
  </si>
  <si>
    <t>KSDG4V-3-96L-05-M-U1-H7-11</t>
  </si>
  <si>
    <t>KDG4V-3-33C30X-H-V-M-U-H7-60</t>
  </si>
  <si>
    <t>KCG-3-L100D-Z-M-U-HL1-10P18-T-15</t>
  </si>
  <si>
    <t>KCG-3-L350D-Z-M-U-HL1-10P15-T-10</t>
  </si>
  <si>
    <t>KCG-3-L250D-Z-M-U-HL1-10P15-T-12</t>
  </si>
  <si>
    <t>KTG4V-3-2B03F-Z-M-U-HA7-60</t>
  </si>
  <si>
    <t>KTG4V-3-33B20N-Z-M-U-HA7-60</t>
  </si>
  <si>
    <t>KDG5V-7-33C170N-EX-VM-U-H1-10</t>
  </si>
  <si>
    <t>KDG4V-3-33C30X-VM-U-H7-60</t>
  </si>
  <si>
    <t>KDG4V-3-2C07N-Z-M-U-HA7-60</t>
  </si>
  <si>
    <t>KDG4V-3-33C07N-Z-M-U-HA7-60</t>
  </si>
  <si>
    <t>KDG4V-3-33C13N-Z-M-U-HA7-60</t>
  </si>
  <si>
    <t>KDG4V-3-33C20N-Z-M-U-HA7-60</t>
  </si>
  <si>
    <t>KDG4V-5-2C50N-Z-M-U-HA730</t>
  </si>
  <si>
    <t>KDG4V-5-2C50N25-M-U-H7-30</t>
  </si>
  <si>
    <t>KDG4V-3-2C07N-H-M-U-H7-60</t>
  </si>
  <si>
    <t>KFDG4V-3-33C03F-Z-VM-U1-H7-20</t>
  </si>
  <si>
    <t>KCG-3-L160D-Z-M-U-HL1-10</t>
  </si>
  <si>
    <t>KCG-3-L250D-Z-M-U-HL1-10P15-T-13</t>
  </si>
  <si>
    <t>KCG-3-L350D-Z-M-U-HL1-10</t>
  </si>
  <si>
    <t>KCG-3-L160D-Z-M-U-HL1-10P15-T-14</t>
  </si>
  <si>
    <t>KCG-3-L100D-Z-M-U-HL1-10</t>
  </si>
  <si>
    <t>KDG4V-5-2C65S-VM-U-H6-30</t>
  </si>
  <si>
    <t>KCG-3-350D-Z-M-U-HL1-10T18</t>
  </si>
  <si>
    <t>KTG4V-3-2B28S-M-U-H7-60</t>
  </si>
  <si>
    <t>KCG-3-250D-Z-M-U-HL1-10P15-T12</t>
  </si>
  <si>
    <t>KSDG4V-3-96L-12-M-U1-H7-11</t>
  </si>
  <si>
    <t>KTG4V-5-2B50N-M-U-H7-30</t>
  </si>
  <si>
    <t>KCG-3-350D-Z-M-U-HL1-10P15-T1-0</t>
  </si>
  <si>
    <t>KDG4V-3-33C03F-H-M-U-H7-60</t>
  </si>
  <si>
    <t>KFDG4V-3-2C50N-Z-VM-U-H7-20</t>
  </si>
  <si>
    <t>KDG4V-3-33C30X-M-U-HR7-60</t>
  </si>
  <si>
    <t>KCG-3-350D-Z-M-U-H1-10-P15-T10</t>
  </si>
  <si>
    <t>KDG5V-7-33C85N-X-T-H-M-U-HA1-10</t>
  </si>
  <si>
    <t>KCG-3-350D-Z-M-U-H1-10-P15-T12</t>
  </si>
  <si>
    <t>KDG5V-7-33C170N-E-M-U-HA1-10</t>
  </si>
  <si>
    <t>KDG4V-5-2C50N-H-M-U-H7-30</t>
  </si>
  <si>
    <t>KDG4V-3-2C30N-Z-M-U-H7-60</t>
  </si>
  <si>
    <t>KDG5V-5-33C80N-E-H-M-U-H1-10</t>
  </si>
  <si>
    <t>KDG5V-7-2C180N-E-H-M-U-H1-10</t>
  </si>
  <si>
    <t>KDG4V-3S-2C19N-H-M-U-H5-60</t>
  </si>
  <si>
    <t>KDG5V-7-2C180N-T-M-U-H1-10</t>
  </si>
  <si>
    <t>KDG5V-7-2C180N-M-U-H1-10</t>
  </si>
  <si>
    <t>KDG5V-5-33C80N-M-U-H1-10</t>
  </si>
  <si>
    <t>KDG5V-5-33C80N-X-M-U-H1-10</t>
  </si>
  <si>
    <t>KDG5V-7-33C170N-E-M-U-H1-10</t>
  </si>
  <si>
    <t>KDG4V-3-2C13N-VM-U-H7-60</t>
  </si>
  <si>
    <t>KCG-3-250D-Z-M-U-H1-10-P15-T10</t>
  </si>
  <si>
    <t>KDG4V-3-2C20N-H-M-U-G7-60</t>
  </si>
  <si>
    <t>KDG4V-3-2C20N10-Z-M-U-H7-60</t>
  </si>
  <si>
    <t>KDG4V-3-33C07N-M-U-H7-60</t>
  </si>
  <si>
    <t>KDG4V-3-33C13N-M-U-H7-60</t>
  </si>
  <si>
    <t>KDG4V-3-33C20N10-M-U-H7-60</t>
  </si>
  <si>
    <t>KCG-3-100-D-Z-M-U-H1-10-P18-T15</t>
  </si>
  <si>
    <t>KCG-3-160D-Z-M-U-H1-10-P15-T12</t>
  </si>
  <si>
    <t>KDG5V-7-33C170N-X-VM-U-H1-10</t>
  </si>
  <si>
    <t>KDG5V-5-2C90N-X-M-U-H1-10</t>
  </si>
  <si>
    <t>KDG4V-3-2C20N-M-U-G7-60</t>
  </si>
  <si>
    <t>KDG4V-3-2C07N-M-U-H7-60</t>
  </si>
  <si>
    <t>KCG-3-350D-Z-M-U-HL1-10P15-T1-2</t>
  </si>
  <si>
    <t>KCG-3-160D-Z-M-U1-H1-10</t>
  </si>
  <si>
    <t>KHDG5V-5-5C85N-X-VM-U1-H1-20</t>
  </si>
  <si>
    <t>KHDG5V-5-5C85N-EX-VM-U1-H1-20</t>
  </si>
  <si>
    <t>KCG-3-100D-Z-M-U1-H1-10</t>
  </si>
  <si>
    <t>KCG-3-250D-Z-M-U1-H1-10</t>
  </si>
  <si>
    <t>KCG-3-L250D-Z-M-U-HL1-10</t>
  </si>
  <si>
    <t>KDG4V-3-2C03F-M-U-H7-60</t>
  </si>
  <si>
    <t>KDG4V-5-33C50N-VM-U-H7-30</t>
  </si>
  <si>
    <t>KDG5V-5-2C90N-T-H-M-U-H1-10</t>
  </si>
  <si>
    <t>KDG4V-3-33C07N-M-U-G7-60</t>
  </si>
  <si>
    <t>KTG4V-3-2B03F-M-U-H7-60</t>
  </si>
  <si>
    <t>KDG5V-5-2C90N-M-U-H1-10</t>
  </si>
  <si>
    <t>KDG5V-7-2C180N-X-M-U-H1-10</t>
  </si>
  <si>
    <t>KDG4V-3-33C30X-Z-VM-U-H7-60</t>
  </si>
  <si>
    <t>KDG5V-7-2C180N-T-H-M-U-H1-10</t>
  </si>
  <si>
    <t>KDG5V-7-33C170N-X-M-U-H1-10</t>
  </si>
  <si>
    <t>KDG4V-5-2C70N-Z-M-U1-H7-30</t>
  </si>
  <si>
    <t>KCG-3-40D-Z-M-U-HA1-10</t>
  </si>
  <si>
    <t>KDG5V-5-33C80N-T-H-M-U-H1-10</t>
  </si>
  <si>
    <t>KDG4V-3-2C03F-Z-VM-U-H7-60</t>
  </si>
  <si>
    <t>KCG-3-L350D-Z-M-U-HL1-10P15-T-13</t>
  </si>
  <si>
    <t>KDG5V-5-33C80N-X-T-VM-U-H1-10</t>
  </si>
  <si>
    <t>KDG5V-5-33C80N-X-H-M-U-H1-10</t>
  </si>
  <si>
    <t>KDG4V-3-2C30N-Z-M-U-HA7-60</t>
  </si>
  <si>
    <t>KDG5V-5-2C90N-T-M-U-H1-10</t>
  </si>
  <si>
    <t>KDG5V-5-2C90N-X-T-M-U-H1-10</t>
  </si>
  <si>
    <t>KFTG4V-5-2B50N-Z-M-U-H7-20</t>
  </si>
  <si>
    <t>KDG5V-5-2C90N-X-T-H-M-U-H1-10</t>
  </si>
  <si>
    <t>KDG4V-3-2C20N-Z-M-U1-H7-60</t>
  </si>
  <si>
    <t>KDG4V-5-2C50N-Z-M-U1-H7-30</t>
  </si>
  <si>
    <t>KFDG4V-3-2C30N-Z-VM-U1-H7-20</t>
  </si>
  <si>
    <t>KCG-3-350-D-Z-M-U-HL1-10-P08</t>
  </si>
  <si>
    <t>KDG4V-5-2C30N-Z-VM-U-H7-30</t>
  </si>
  <si>
    <t>KDG5V-7-2C180N100-X-T-H-M-U-H1-10</t>
  </si>
  <si>
    <t>KDG4V-3-2C28S-H-M-U-G7-60</t>
  </si>
  <si>
    <t>KDG5V-5-33C80N-T-M-U-H1-10</t>
  </si>
  <si>
    <t>KCG-3-350D-Z-M-U-HA1-10P15-T1-2</t>
  </si>
  <si>
    <t>KDG4V-3-2C03F-H-M-U-H7-60</t>
  </si>
  <si>
    <t>KCG-3-250D-Z-M-U-H1-10-P15-T12</t>
  </si>
  <si>
    <t>KFTG4V-3-2B03F-Z-VM-U1-H7-20</t>
  </si>
  <si>
    <t>KFDG4V-3-33C03F-Z-M-U1-H7-20</t>
  </si>
  <si>
    <t>KDG5V-7-2C180N-X-Z-VM-U-H1-10</t>
  </si>
  <si>
    <t>KDG5V-7-33C170N-X-T-M-U-H1-10</t>
  </si>
  <si>
    <t>KDG5V-5-33C80N-E-M-U-H1-10</t>
  </si>
  <si>
    <t>KFDG4V-5-33C30N-Z-M-U1-H7-20</t>
  </si>
  <si>
    <t>KDG5V-7-33C170N-T-M-U-H1-10</t>
  </si>
  <si>
    <t>KFDG4V-3-2C03F-Z-M-U1-H7-20</t>
  </si>
  <si>
    <t>KDG4V-3-33C30X-M-U-HL7-60</t>
  </si>
  <si>
    <t>KDG4V-3-2C07N-H-VM-U-H7-60</t>
  </si>
  <si>
    <t>KDG4V-3-2C03F-H-M-U-HA7-60</t>
  </si>
  <si>
    <t>KDG5V-7-2C180N100-X-T-M-U-H1-10</t>
  </si>
  <si>
    <t>KDG5V-5-2C90N-M-U-HA1-10</t>
  </si>
  <si>
    <t>KCG-3-350D-Z-M-U-HA1-10P15-T1-0</t>
  </si>
  <si>
    <t>KDG4V-3-33C03F-M-U-H7-60</t>
  </si>
  <si>
    <t>KDG4V-3-33C20N-VM-U-H7-60</t>
  </si>
  <si>
    <t>KDG5V-7-2C180N-T-H-M-U-HA1-10</t>
  </si>
  <si>
    <t>KDG4V-5-2C50N-H-VM-U-H7-30</t>
  </si>
  <si>
    <t>KDG4V-3S-2C15N-M-U-G5-60</t>
  </si>
  <si>
    <t>KDG5V-5-2C90N-T-H-M-U-HA1-10</t>
  </si>
  <si>
    <t>KDG4V-3-33C10N20-Z-M-U-H7-60</t>
  </si>
  <si>
    <t>KDG5V-5-2C90N-T-M-U-HR1-10</t>
  </si>
  <si>
    <t>KDG5V-7-33C170N-M-U-H1-10</t>
  </si>
  <si>
    <t>KDG4V-3-2C20N-M-U-HA7-60</t>
  </si>
  <si>
    <t>KDG4V-3-33C20N-H-VM-U-H7-60</t>
  </si>
  <si>
    <t>KDG5V-7-2C180N-H-M-U-HA1-10</t>
  </si>
  <si>
    <t>KFTG4V-5-2B30N-Z-VM-U1-H7-20</t>
  </si>
  <si>
    <t>KDG5V-5-33C80N-X-T-M-U-H1-10</t>
  </si>
  <si>
    <t>KDG5V-7-2C180N-EX-VM-U-H1-10</t>
  </si>
  <si>
    <t>KDG4V-3-33C20N-Z-M-U-G7-60</t>
  </si>
  <si>
    <t>KDG4V-3-2C28S-M-U-HA7-60</t>
  </si>
  <si>
    <t>KDG5V-5-33C80N-X-VM-U-H1-10</t>
  </si>
  <si>
    <t>KBDG5V-5-2C90N-T-H-M1-PE7-H1-10</t>
  </si>
  <si>
    <t>KBDG5V-5-2C90N-X-H-M1-PE7-H1-10</t>
  </si>
  <si>
    <t>KBDG5V-5-2C90N-X-T-Z-M1-PE7-H1-10</t>
  </si>
  <si>
    <t>KBDG5V-7-2C180N-T-M1-PE7-H1-10</t>
  </si>
  <si>
    <t>KBDG5V-7-2C180N-X-H-M1-PE7-H1-10</t>
  </si>
  <si>
    <t>KBDG5V-7-2C180N100-EX-H-M1-PE7-H1-10</t>
  </si>
  <si>
    <t>KBDG5V-7-33C130N65-X-H-M1-PE7-H1-10</t>
  </si>
  <si>
    <t>KBDG5V-7-33C130N65-X-T-H-M1-PE7-H1-10</t>
  </si>
  <si>
    <t>KBDG5V-7-33C170N-X-H-M1-PE7-H1-10</t>
  </si>
  <si>
    <t>KBDG5V-7-33C170N-X-M1-PE7-H1-10</t>
  </si>
  <si>
    <t>KBDG4V-3-2C03F-Z-M1-PE7-H7-10</t>
  </si>
  <si>
    <t>KCG-3-L350D-Z-M-U-G1-10</t>
  </si>
  <si>
    <t>KBDG4V-3-2C24S-Z-M1-PE7-H7-10</t>
  </si>
  <si>
    <t>KBDG4V-3-2C13N-Z-M1-PE7-H7-10</t>
  </si>
  <si>
    <t>KBDG4V-3-2C07N-Z-M1-PE7-H7-10</t>
  </si>
  <si>
    <t>KBDG4V-3-33C07N-Z-M1-PE7-H7-10</t>
  </si>
  <si>
    <t>KBDG4V-3-33C13N-Z-M1-PE7-H7-10</t>
  </si>
  <si>
    <t>KBDG4V-3-2C20N-Z-M1-PE7-H7-10</t>
  </si>
  <si>
    <t>KBDG4V-3-2C13N-VM1-PC7-H7-10</t>
  </si>
  <si>
    <t>KDG5V-7-33C170N-T-H-M-U-H1-10</t>
  </si>
  <si>
    <t>KBDG4V-3-2C03F-Z-M2-PC7-H7-10</t>
  </si>
  <si>
    <t>KBDG4V-3-2C07N-Z-M2-PC7-H7-10</t>
  </si>
  <si>
    <t>KBDG4V-3-2C13N-Z-M2-PE7-H7-10</t>
  </si>
  <si>
    <t>KBDG4V-3-2C13N-Z-M1-PH7-H7-10</t>
  </si>
  <si>
    <t>KBDG4V-3-2C13N-M1-PE7-H7-10</t>
  </si>
  <si>
    <t>KBDG4V-3-2C20N-M1-PE7-H7-10</t>
  </si>
  <si>
    <t>KBDG4V-3-2C20N-Z-M2-PE7-H7-10</t>
  </si>
  <si>
    <t>KBDG4V-3-2C20N-Z-M1-PH7-H7-10</t>
  </si>
  <si>
    <t>KBDG4V-3-33C03F-Z-M1-PC7-H7-10</t>
  </si>
  <si>
    <t>KBDG4V-3-33C07N-Z-M2-PE7-H7-10</t>
  </si>
  <si>
    <t>KBDG4V-3-33C13N-Z-M2-PE7-H7-10</t>
  </si>
  <si>
    <t>KBDG4V-3-33C20N-Z-M2-PE7-H7-10</t>
  </si>
  <si>
    <t>KBDG4V-3-33C20N-H-M1-PE7-H7-10</t>
  </si>
  <si>
    <t>KBTG4V-3-2B07N-Z-M1-PE7-H7-10</t>
  </si>
  <si>
    <t>KBTG4V-3-2B13N-Z-VM1-PE7-H7-10</t>
  </si>
  <si>
    <t>KBTG4V-3-2B20N-Z-M1-PE7-H7-10</t>
  </si>
  <si>
    <t>KBTG4V-3-2B20N-Z-M2-PE7-H7-10</t>
  </si>
  <si>
    <t>KBDG4V-3-33C30X-Z-M1-PC7-H7-10</t>
  </si>
  <si>
    <t>KBDG4V-3-33C30X-M1-PC7-H7-10</t>
  </si>
  <si>
    <t>KBDG4V-3-33C30X-H-M1-PE7-H7-10</t>
  </si>
  <si>
    <t>KBDG4V-3-33C30X-M1-PE7-H7-10</t>
  </si>
  <si>
    <t>KBDG5V-8-2C330N-EX-H-M1-PE7-H1-10</t>
  </si>
  <si>
    <t>KBDG5V-8-33C330N-X-H-M1-PE7-H1-10</t>
  </si>
  <si>
    <t>KBDG5V-8-33C330N200-X-H-M1-PE7-H1-10</t>
  </si>
  <si>
    <t>KBDG5V-8-2C330N-EX-H-M1-PH7-H1-10</t>
  </si>
  <si>
    <t>KBDG5V-5-33C80N-EX-M1-PE7-H1-10</t>
  </si>
  <si>
    <t>KBDG5V-5-33C80N-X-T-H-M1-PE7-H1-10</t>
  </si>
  <si>
    <t>KBDG5V-5-33C80N-X-M1-PE7-H1-10</t>
  </si>
  <si>
    <t>KBDG5V-7-2C180N-X-H-M1-PH7-H1-10</t>
  </si>
  <si>
    <t>KBDG5V-7-33C130N65-X-T-H-M1-PC7-H1-10</t>
  </si>
  <si>
    <t>KDG5V-7-33C170N-EX-T-M-U-H1-10</t>
  </si>
  <si>
    <t>KCG-3-L250D-Z-M-U-H1-10P15-T1-5</t>
  </si>
  <si>
    <t>KBDG4V-3-33C20N-M1-PC7-H7-10</t>
  </si>
  <si>
    <t>KBDG5V-7-33C170N-EX-H-M1-PE7-H1-10</t>
  </si>
  <si>
    <t>KDG5V-5-33C80N-EX-M-U-H1-10</t>
  </si>
  <si>
    <t>KDG5V-7-2C180N-EX-M-U-H1-10</t>
  </si>
  <si>
    <t>KBDG5V-7-2C180N-X-H-M2-PC7-H1-10</t>
  </si>
  <si>
    <t>KBDG4V-3-2C20N-M2-PE7-H7-10</t>
  </si>
  <si>
    <t>KBDG4V-3-2C13N-H-M1-PE7-H7-10</t>
  </si>
  <si>
    <t>KBDG4V-3-2C13N-M2-PE7-H7-10</t>
  </si>
  <si>
    <t>KDG5V-7-2C180N100-E-VM-U-H1-10</t>
  </si>
  <si>
    <t>KBDG4V-3-33C20N-Z-M1-PE7-H7-10</t>
  </si>
  <si>
    <t>KDG5V-5-33C80N-T-VM-U-H1-10</t>
  </si>
  <si>
    <t>KDG4V-5-33C30N-M-U-HA7-30</t>
  </si>
  <si>
    <t>KBDG4V-3-2C20N-M1-PC7-H7-10</t>
  </si>
  <si>
    <t>KDG5V-5-33C80N-X-T-H-M-U-H1-10</t>
  </si>
  <si>
    <t>KBDG4V-3-2C20N-H-M1-PE7-H7-10</t>
  </si>
  <si>
    <t>KBCG-3-100D-Z-M1-3-A-PE7-H1-10</t>
  </si>
  <si>
    <t>KBCG-3-100D-Z-M1-2-A-PE7-H1-10</t>
  </si>
  <si>
    <t>KBCG-3-160D-Z-M1-2-A-PE7-H1-10</t>
  </si>
  <si>
    <t>KBCG-3-250D-Z-M1-2-A-PE7-H1-10</t>
  </si>
  <si>
    <t>KBCG-3-350D-Z-M1-3-A-PE7-H1-10-P15-T10</t>
  </si>
  <si>
    <t>KBCG-3-350D-Z-M1-2-A-PE7-H1-10</t>
  </si>
  <si>
    <t>KBCG-3-40D-Z-M1-2-A-PE7-H1-10</t>
  </si>
  <si>
    <t>KBCG-3-L100D-Z-M1-3-A-PE7-H1-10</t>
  </si>
  <si>
    <t>KBCG-3-L160D-Z-M1-3-A-PE7-H1-10</t>
  </si>
  <si>
    <t>KBCG-3-L100D-Z-M1-3-A-PE7-H1-10-P18-T15</t>
  </si>
  <si>
    <t>KBCG-3-L160D-Z-M1-3-A-PE7-H1-10-P15-T10</t>
  </si>
  <si>
    <t>KBCG-3-L250D-Z-M1-3-A-PE7-H1-10-P15-T10</t>
  </si>
  <si>
    <t>KBCG-3-L350D-Z-M1-3-A-PE7-H1-10-P15-T10</t>
  </si>
  <si>
    <t>KBCG-3-L160D-Z-M1-3-A-PE7-H1-10-P15-T12</t>
  </si>
  <si>
    <t>KBCG-3-L100D-Z-M1-3-A-PE7-H1-10-P15-T14</t>
  </si>
  <si>
    <t>KBCG-3-L160D-Z-M1-3-A-PE7-H1-10-P15-T14</t>
  </si>
  <si>
    <t>KBCG-6-W100-1-Z-M1-3-A-PE7-H1-10</t>
  </si>
  <si>
    <t>KBCG-6-W250-3-Z-M1-3-A-PE7-H1-10</t>
  </si>
  <si>
    <t>KBCG-8-W160-Z-M1-3-A-PE7-H1-10</t>
  </si>
  <si>
    <t>KBCG-8-W250-1-Z-M1-3-A-PE7-H1-10</t>
  </si>
  <si>
    <t>KBCG-3-L250D-Z-M1-3-A-PE7-H1-10-P15-T13</t>
  </si>
  <si>
    <t>KBCG-3-250D-Z-M1-3-A-PE7-H1-10</t>
  </si>
  <si>
    <t>KBCG-3-L160D-Z-M1-2-A-PE7-H1-10</t>
  </si>
  <si>
    <t>KBCG-3-L350D-Z-M1-2-A-PE7-H1-10</t>
  </si>
  <si>
    <t>KBCG-3-L350D-Z-M1-2-A-PE7-H1-10-P15-T10</t>
  </si>
  <si>
    <t>KBCG-3-350D-Z-M2-2-A-PE7-H1-10</t>
  </si>
  <si>
    <t>KBCG-3-40D-Z-M2-2-A-PE7-H1-10</t>
  </si>
  <si>
    <t>KTG4V-5-2B70N-VM-U-HA7-30</t>
  </si>
  <si>
    <t>KDG4V-3-33C27N-H-M-U-H7-60</t>
  </si>
  <si>
    <t>KDG4V-3-33C27N-Z-M-U-H7-60</t>
  </si>
  <si>
    <t>KDG4V-3-33C27N-Z-M-U-G7-60</t>
  </si>
  <si>
    <t>KDG4V-3-33C27N-Z-M-U-HA7-60</t>
  </si>
  <si>
    <t>KBDG5V-5-2C90N-EX-H-M1-PE7-H1-10</t>
  </si>
  <si>
    <t>KBDG5V-5-2C90N-M1-PE7-H1-10</t>
  </si>
  <si>
    <t>KBDG5V-5-33C80N-M1-PE7-H1-10</t>
  </si>
  <si>
    <t>KBDG5V-5-33C80N-T-M1-PE7-H1-10</t>
  </si>
  <si>
    <t>KBDG5V-5-33C80N-X-H-M1-PC7-H1-10</t>
  </si>
  <si>
    <t>KBDG5V-7-2C180N-E-M1-PE7-H1-10</t>
  </si>
  <si>
    <t>KBDG5V-7-2C180N-M1-PE7-H1-10</t>
  </si>
  <si>
    <t>KBDG5V-7-2C180N100-E-M1-PE7-H1-10</t>
  </si>
  <si>
    <t>KBDG5V-7-33C170N-M1-PE7-H1-10</t>
  </si>
  <si>
    <t>KBDG5V-7-33C170N-X-T-H-M1-PE7-H1-10</t>
  </si>
  <si>
    <t>KBDG4V-3-33C03F-H-M1-PE7-H7-10</t>
  </si>
  <si>
    <t>KBDG4V-3-33C30X-M2-PC7-H7-10</t>
  </si>
  <si>
    <t>KBDG5V-8-2C330N-E-M1-PE7-H1-10</t>
  </si>
  <si>
    <t>KBDG5V-8-33C330N-EX-M1-PE7-H1-10</t>
  </si>
  <si>
    <t>KBDG5V-8-33C330N200-EX-M1-PE7-H1-10</t>
  </si>
  <si>
    <t>KBDG4V-3-33C20N-M1-PE7-H7-10</t>
  </si>
  <si>
    <t>KTG4V-5-2B70N-Z-M-U1-H7-30</t>
  </si>
  <si>
    <t>KBCG-3-250D-Z-M2-2-A-PE7-H1-10</t>
  </si>
  <si>
    <t>KBDG4V-5-2C30N-Z-M1-PE7-H7-10</t>
  </si>
  <si>
    <t>KBDG4V-5-2C50N-Z-M1-PE7-H7-10</t>
  </si>
  <si>
    <t>KBDG4V-5-2C65S-Z-M1-PE7-H6-10</t>
  </si>
  <si>
    <t>KBDG4V-5-33C30N-Z-M1-PE7-H7-10</t>
  </si>
  <si>
    <t>KBDG4V-5-33C50N-Z-M1-PE7-H7-10</t>
  </si>
  <si>
    <t>KBDG4V-5-2C50N25-Z-M1-PE7-H7-10</t>
  </si>
  <si>
    <t>KBDG4V-5-33C50N25-Z-M1-PE7-H7-10</t>
  </si>
  <si>
    <t>KBDG4V-5-2C70N-Z-M1-PE7-H7-10</t>
  </si>
  <si>
    <t>KBTG4V-5-2B30N-Z-M1-PE7-H7-10</t>
  </si>
  <si>
    <t>KBTG4V-5-2B50N-Z-M1-PE7-H7-10</t>
  </si>
  <si>
    <t>KBTG4V-5-33B50N-Z-M1-PE7-H7-10</t>
  </si>
  <si>
    <t>KBTG4V-5-2B70N-Z-M1-PE7-H7-10</t>
  </si>
  <si>
    <t>KBDG4V-5-2C50N-Z-M1-PC7-H7-10</t>
  </si>
  <si>
    <t>KBCG-3-L250D-Z-M1-2-A-PE7-H1-10-P15-T13</t>
  </si>
  <si>
    <t>KCG-3-350D-Z-M-U-GP1-10-P15-T12</t>
  </si>
  <si>
    <t>KBCG-3-350D-Z-M1-2-A-PH7-H1-10</t>
  </si>
  <si>
    <t>KTG4V-3-2B28S-M-U-HA7-60</t>
  </si>
  <si>
    <t>KBDG4V-3-2C20N-VM1-PH7-H7-10</t>
  </si>
  <si>
    <t>KBCG-3-350D-Z-M1-1-A-PE7-H1-10</t>
  </si>
  <si>
    <t>KBDG5V-7-33C130N65-X-M1-PE7-H1-10</t>
  </si>
  <si>
    <t>KBDG4V-3-2C24S-Z-M2-PE7-H7-10</t>
  </si>
  <si>
    <t>KBCG-3-250D-Z-M1-1-A-PE7-H1-10</t>
  </si>
  <si>
    <t>KBCG-3-100D-Z-M1-2-A-PC7-H1-10</t>
  </si>
  <si>
    <t>KBDG4V-3-33C13N-M1-PE7-H7-10</t>
  </si>
  <si>
    <t>KBCG-3-250D-Z-M1-2-A-PC7-H1-10</t>
  </si>
  <si>
    <t>KCG-3-350D-Z-M-U1-H1-10</t>
  </si>
  <si>
    <t>KBDG4V-5-33C50N-Z-M1-PC7-H7-10</t>
  </si>
  <si>
    <t>KBDG4V-5-33C30N-Z-M1-PC7-H7-10</t>
  </si>
  <si>
    <t>KBCG-3-160D-Z-M2-3-A-PC7-H1-10</t>
  </si>
  <si>
    <t>KBCG-3-L250D-Z-M2-3-A-PE7-H1-10-P15-T10</t>
  </si>
  <si>
    <t>KBCG-8-W350-Z-M2-3-A-PE7-H1-10</t>
  </si>
  <si>
    <t>KBDG5V-8-33C330N200-X-M1-PE7-H1-10</t>
  </si>
  <si>
    <t>KBDG5V-7-33C170N-H-M1-PC7-H1-10</t>
  </si>
  <si>
    <t>KBCG-3-160D-Z-M2-2-A-PE7-H1-10</t>
  </si>
  <si>
    <t>KBDG5V-8-2C330N-T-M1-PE7-H1-10</t>
  </si>
  <si>
    <t>KBCG-3-350D-Z-M1-1-A-PE7-H1-10-P15-T10</t>
  </si>
  <si>
    <t>KBTG4V-3-2B07N-M2-PC7-H7-10</t>
  </si>
  <si>
    <t>KBDG5V-5-2C90N-T-M1-PE7-H1-10</t>
  </si>
  <si>
    <t>KBDG5V-7-2C180N-EX-M1-PE7-H1-10</t>
  </si>
  <si>
    <t>KBDG5V-7-2C180N-X-M1-PE7-H1-10</t>
  </si>
  <si>
    <t>KBDG5V-8-33C330N-X-T-H-M1-PE7-H1-10</t>
  </si>
  <si>
    <t>KBDG5V-8-2C330N-X-M1-PE7-H1-10</t>
  </si>
  <si>
    <t>KBDG5V-8-2C330N-X-T-M1-PE7-H1-10</t>
  </si>
  <si>
    <t>KBCG-3-100D-Z-M2-2-A-PE7-H1-10</t>
  </si>
  <si>
    <t>KBCG-3-L100D-Z-M2-3-A-PE7-H1-10-P15-T14</t>
  </si>
  <si>
    <t>KBDG5V-8-33C330N-M1-PE7-H1-10</t>
  </si>
  <si>
    <t>KBDG4V-3-2C28N-H-M1-PC7-H7-10</t>
  </si>
  <si>
    <t>KBDG5V-7-2C180N-X-T-M1-PE7-H1-10</t>
  </si>
  <si>
    <t>KBDG5V-8-2C330N-X-H-M1-PE7-H1-10</t>
  </si>
  <si>
    <t>KBDG4V-3-33C30X-M2-PE7-H7-10</t>
  </si>
  <si>
    <t>KBDG5V-7-33C170N-M2-PE7-H1-10</t>
  </si>
  <si>
    <t>KBDG5V-5-33C80N-M2-PE7-H1-10</t>
  </si>
  <si>
    <t>KBDG5V-7-33C170N-X-T-M1-PE7-H1-10</t>
  </si>
  <si>
    <t>KBDG5V-8-33C330N-M2-PE7-H1-10</t>
  </si>
  <si>
    <t>KBTG4V-3-2B03F-M2-PE7-H7-10</t>
  </si>
  <si>
    <t>KDG4V-3-2C31S-Z-M-U-HA7-60</t>
  </si>
  <si>
    <t>KBCG-3-L160D-Z-M2-3-A-PE7-H1-10-P15-T14</t>
  </si>
  <si>
    <t>KBDG4V-5-2C70N-Z-M2-PE7-H7-10</t>
  </si>
  <si>
    <t>KBDG4V-5-2C50N-Z-M2-PC7-H7-10</t>
  </si>
  <si>
    <t>KBDG4V-5-2C50N-Z-M2-PE7-H7-10</t>
  </si>
  <si>
    <t>KBDG4V-5-33C50N-Z-M2-PC7-H7-10</t>
  </si>
  <si>
    <t>KBDG4V-5-33C50N-Z-M2-PE7-H7-10</t>
  </si>
  <si>
    <t>KBTG4V-5-2B70N-Z-M2-PC7-H7-10</t>
  </si>
  <si>
    <t>KBTG4V-5-2B70N-Z-M2-PE7-H7-10</t>
  </si>
  <si>
    <t>KBCG-3-L350D-Z-M1-3-A-PE7-H1-10-P15-T13</t>
  </si>
  <si>
    <t>KBDG5V-8-2C330N-X-T-H-M1-PE7-H1-10</t>
  </si>
  <si>
    <t>KBDG5V-5-2C90N-X-T-H-M1-PE7-H1-10</t>
  </si>
  <si>
    <t>KBDG5V-5-2C70N45-E-M1-PE7-H1-10</t>
  </si>
  <si>
    <t>KDG5V-8-2C330N-E-M-U-H1-20</t>
  </si>
  <si>
    <t>KDG5V-8-2C330N-EX-H-M-U-H1-20</t>
  </si>
  <si>
    <t>KDG5V-8-2C330N-T-M-U-H1-20</t>
  </si>
  <si>
    <t>KDG5V-8-2C330N-X-H-M-U-H1-20</t>
  </si>
  <si>
    <t>KDG5V-8-33C330N-E-H-VM-U-H1-20</t>
  </si>
  <si>
    <t>KDG5V-8-33C330N-E-M-U-H1-20</t>
  </si>
  <si>
    <t>KDG5V-8-33C330N-EX-H-VM-U-H1-20</t>
  </si>
  <si>
    <t>KDG5V-8-33C330N-EX-VM-U-H1-20</t>
  </si>
  <si>
    <t>KDG5V-8-33C330N-H-M-U-H1-20</t>
  </si>
  <si>
    <t>KDG5V-8-33C330N-M-U-H1-20</t>
  </si>
  <si>
    <t>KDG5V-8-33C330N-M-U-HA1-20</t>
  </si>
  <si>
    <t>KDG5V-8-33C330N-X-H-M-U-H1-20</t>
  </si>
  <si>
    <t>KDG5V-8-33C330N-X-M-U-H1-20</t>
  </si>
  <si>
    <t>KDG5V-8-133C330N200-T-H-M-U-H1-20</t>
  </si>
  <si>
    <t>KDG5V-8-2C330N-X-T-M-U-H1-20</t>
  </si>
  <si>
    <t>KDG5V-8-33C330N200-E-M-U-H1-20</t>
  </si>
  <si>
    <t>KDG5V-8-2C330N200-E-M-U-H1-20</t>
  </si>
  <si>
    <t>KBDG5V-8-33C330N-X-M1-PE7-H1-10</t>
  </si>
  <si>
    <t>KBCG-3-350D-Z-M2-1-A-PH7-H1-10</t>
  </si>
  <si>
    <t>KBDG4V-3-2C13N-M1-PC7-H7-10</t>
  </si>
  <si>
    <t>KBDG5V-7-33C130N65-E-H-M2-PE7-H1-10</t>
  </si>
  <si>
    <t>KBDG5V-8-33C330N200-E-H-M2-PE7-H1-10</t>
  </si>
  <si>
    <t>KBTG4V-3-33B20N-Z-M1-PE7-H7-10</t>
  </si>
  <si>
    <t>KBCG-3-L350D-Z-M2-3-A-PE7-H1-10-P15-T10</t>
  </si>
  <si>
    <t>KBCG-3-160D-Z-M1-3-A-PE7-H1-10</t>
  </si>
  <si>
    <t>KBDG5V-8-2C330N-X-M2-PE7-H1-10</t>
  </si>
  <si>
    <t>KBCG-3-160D-Z-M2-1-A-PE7-H1-10</t>
  </si>
  <si>
    <t>KBCG-3-172D-Z-M1-2-A-PE7-H1-10</t>
  </si>
  <si>
    <t>KBDG5V-7-2C180N-EX-H-M1-PE7-H1-10</t>
  </si>
  <si>
    <t>KBDG5V-5-33C80N-T-M1-PH7-H1-10</t>
  </si>
  <si>
    <t>KBDG5V-7-33C170N-T-M1-PE7-H1-10</t>
  </si>
  <si>
    <t>KBDG4V-3-33C07N-M1-PE7-H7-10</t>
  </si>
  <si>
    <t>KBCG-3-40D-Z-M2-1-A-PH7-H1-10</t>
  </si>
  <si>
    <t>KBCG-3-L100D-Z-M1-2-A-PE7-H1-10</t>
  </si>
  <si>
    <t>KBDG5V-5-33C60N35-X-T-H-M1-PE7-H1-10</t>
  </si>
  <si>
    <t>KBDG4V-3-2C24S-M1-PE7-H7-10</t>
  </si>
  <si>
    <t>KDG4V-3S-33C22N-M-U-H5-60</t>
  </si>
  <si>
    <t>KDG5V-7-2C180N100-E-T-M-U-H1-10</t>
  </si>
  <si>
    <t>KDG5V-5-2C90N-X-H-M-U-H1-10</t>
  </si>
  <si>
    <t>KFDG4V-3-33C20N10-Z-VM-U1-H7-20</t>
  </si>
  <si>
    <t>KDG5V-7-33C130N65-X-VM-U-H1-10</t>
  </si>
  <si>
    <t>KDG4V-3-33C20N-M-U1-H7-60</t>
  </si>
  <si>
    <t>KCG-3-350D-Z-M-U-H1-10-T15</t>
  </si>
  <si>
    <t>KFDG4V-3-33C20N-Z-M-U-H7-20</t>
  </si>
  <si>
    <t>KDG5V-7-33C170N-T-M-U-HA1-10</t>
  </si>
  <si>
    <t>KDG4V-5-33C50N-Z-M-U1-H7-30</t>
  </si>
  <si>
    <t>KDG4V-3-2C28S-M-U-G7-60</t>
  </si>
  <si>
    <t>KDG5V-5-2C90N-H-M-U-H1-10</t>
  </si>
  <si>
    <t>KDG5V-5-33C80N-VM-U-H1-10</t>
  </si>
  <si>
    <t>KDG5V-7-33C170N-VM-U-H1-10</t>
  </si>
  <si>
    <t>KDG4V-3-2C20N-H-M-U-HA7-60</t>
  </si>
  <si>
    <t>KTG4V-5-2B70N-Z-M-U-H7-30</t>
  </si>
  <si>
    <t>KDG4V-5-2C50N-H-M-U-HA7-30</t>
  </si>
  <si>
    <t>KDG5V-7-2C180N-X-T-H-M-U-H1-10</t>
  </si>
  <si>
    <t>KDG5V-7-2C180N-X-T-M-U-H1-10</t>
  </si>
  <si>
    <t>KTG4V-2-2B9N-Z-M-U-HF6-10</t>
  </si>
  <si>
    <t>KDG5V-7-2C180N100-X-M-U-H1-10</t>
  </si>
  <si>
    <t>KDG4V-3-2C20N10-M-U-H7-60</t>
  </si>
  <si>
    <t>COIL H KDG4V-3S*KUP1-H5-60</t>
  </si>
  <si>
    <t>KDG4V-3S-33C22N-M-U-G5-60</t>
  </si>
  <si>
    <t>KBDG4V-3-33C30X-M2-PH7-H7-10</t>
  </si>
  <si>
    <t>KDG4V-3S-33C22A-H-M-U-GP5-60</t>
  </si>
  <si>
    <t>KBCG-3-40D-Z-M1-1-A-PE7-H1-10</t>
  </si>
  <si>
    <t>KBDG5V-8-33C330N200-EX-M2-PE7-H1-10</t>
  </si>
  <si>
    <t>KBDG5V-8-2C330N-X-Z-M1-PC7-H1-10</t>
  </si>
  <si>
    <t>KBCG-3-L40D-Z-M1-2-A-PE7-H1-10</t>
  </si>
  <si>
    <t>KBDG5V-8-2C330N-M1-PE7-H1-10</t>
  </si>
  <si>
    <t>KBDG5V-5-33C80N-T-M2-PE7-H1-10</t>
  </si>
  <si>
    <t>KDG5V-7-33C130N65-EX-M-U-H1-10</t>
  </si>
  <si>
    <t>KBDG4V-3-33C07N-M1-PR7-H7-10</t>
  </si>
  <si>
    <t>KBDG5V-5-2C90N-H-M1-PE7-H1-10</t>
  </si>
  <si>
    <t>KBDG4V-3-33C03F-Z-M1-PE7-H7-10</t>
  </si>
  <si>
    <t>KBDG5V-5-33C60N35-X-H-M1-PE7-H1-10</t>
  </si>
  <si>
    <t>KBDG5V-5-33C60N35-EX-M1-PE7-H1-10</t>
  </si>
  <si>
    <t>KBDG5V-5-33C60N35-X-M1-PE7-H1-10</t>
  </si>
  <si>
    <t>KBDG5V-5-33C60N35-X-T-M2-PE7-H1-10</t>
  </si>
  <si>
    <t>KBDG5V-8-33C330N200-X-T-M1-PE7-H1-10</t>
  </si>
  <si>
    <t>KBDG5V-5-2C90N-X-T-M1-PE7-H1-10</t>
  </si>
  <si>
    <t>KBCG-3-160D-Z-M1-1-A-PE7-H1-10</t>
  </si>
  <si>
    <t>KBDG5V-7-33C130N65-T-M1-PE7-H1-10</t>
  </si>
  <si>
    <t>KBCG-3-350D-Z-M2-1-A-PE7-H1-10</t>
  </si>
  <si>
    <t>KDG3V-8-33C330N-E-20</t>
  </si>
  <si>
    <t>KBDG4V-3-33C20N-H-M2-PH7-H7-10</t>
  </si>
  <si>
    <t>KBDG5V-5-33C80N-X-T-M2-PE7-H1-10</t>
  </si>
  <si>
    <t>KBDG5V-7-33C170N-X-T-M2-PE7-H1-10</t>
  </si>
  <si>
    <t>KBDG4V-5-2C30N-Z-M2-PE7-H7-10</t>
  </si>
  <si>
    <t>KBDG5V-8-33C330N200-X-T-M2-PE7-H1-10</t>
  </si>
  <si>
    <t>KBDG5V-7-2C180N-T-M2-PE7-H1-10</t>
  </si>
  <si>
    <t>KBCG-3-160D-Z-M2-3-A-PE7-H1-10</t>
  </si>
  <si>
    <t>KBDG4V-3-33C07N-H-M1-PE7-H7-10</t>
  </si>
  <si>
    <t>KBDG4V-3-2C20N10-H-M2-PE7-H7-10</t>
  </si>
  <si>
    <t>KBDG4V-3-2C20N10-H-VM2-PE7-H7-10</t>
  </si>
  <si>
    <t>KBTG4V-3-2B20N-M2-PE7-H7-10</t>
  </si>
  <si>
    <t>KBCG-3-100D-Z-M1-1-A-PE7-H1-10</t>
  </si>
  <si>
    <t>KBDG5V-5-2C90N-X-M1-PE7-H1-10</t>
  </si>
  <si>
    <t>KDG4V-3-33C20N-Z-M-U1-H7-60</t>
  </si>
  <si>
    <t>KBCG-6-W350-Z-M1-3-A-PH7-H1-10</t>
  </si>
  <si>
    <t>KHDG5V-8-2C375N-EX-VM-U1-H1-30</t>
  </si>
  <si>
    <t>KBDG5V-8-33C330N200-X-T-H-M1-PE7-H1-10</t>
  </si>
  <si>
    <t>KBDG4V-3-33C20N10-VM1-PE7-H7-10</t>
  </si>
  <si>
    <t>KBDG5V-8-33C330N200-M2-PE7-H1-10</t>
  </si>
  <si>
    <t>KBDG5V-8-2C330N200-T-M1-PE7-H1-10</t>
  </si>
  <si>
    <t>KBDG5V-7-33C170N-X-H-M1-PH7-H1-10</t>
  </si>
  <si>
    <t>KBDG5V-7-33C170N-EX-H-M1-PH7-H1-10</t>
  </si>
  <si>
    <t>KBDG5V-5-33C80N-X-H-M1-PE7-H1-10</t>
  </si>
  <si>
    <t>KBDG5V-8-33C330N-T-M1-PE7-H1-10</t>
  </si>
  <si>
    <t>KBDG4V-5-33C50N-Z-M1-PH7-H7-10</t>
  </si>
  <si>
    <t>KBDG5V-7-2C180N100-M1-PE7-H1-10</t>
  </si>
  <si>
    <t>KBDG5V-7-33C170N-EX-M2-PE7-H1-10</t>
  </si>
  <si>
    <t>KBDG5V-5-2C90N-T-M2-PE7-H1-10</t>
  </si>
  <si>
    <t>KDG5V-5-33C60N40-X-T-VM-U-H1-10</t>
  </si>
  <si>
    <t>KDG5V-7-33C130N65-X-T-VM-U-H1-10</t>
  </si>
  <si>
    <t>KBCG-3-160D-Z-M1-2-A-PH7-H1-10</t>
  </si>
  <si>
    <t>KBDG5V-7-33C170N-E-M1-PE7-H1-10</t>
  </si>
  <si>
    <t>KBDG5V-7-33C170N100-E-M2-PE7-H1-10</t>
  </si>
  <si>
    <t>KTG4V-5-2B70N-Z-VM-U-H7-30</t>
  </si>
  <si>
    <t>KDG4V-3-2C13N-H-M-U-HA7-60</t>
  </si>
  <si>
    <t>KBDG5V-7-33C85N-EX-M2-PE7-H1-10</t>
  </si>
  <si>
    <t>KBDG5V-7-33C170N-X-M2-PC7-H1-10</t>
  </si>
  <si>
    <t>KBDG5V-5-33C80N-EX-M2-PE7-H1-10</t>
  </si>
  <si>
    <t>KBDG5V-8-33C330N200-M1-PE7-H1-10</t>
  </si>
  <si>
    <t>KBCG-3-L250D-Z-M1-2-A-PE7-H1-10</t>
  </si>
  <si>
    <t>KBFDG5V-5-2C70N45-X-M2-PC7-H1-10</t>
  </si>
  <si>
    <t>KBFDG5V-5-2C95N-EX-M1-PE7-H1-10</t>
  </si>
  <si>
    <t>KBFDG5V-5-33C80N-X-M1-PE7-H1-10</t>
  </si>
  <si>
    <t>KBFDG5V-5-2C95N-X-M1-PE7-H1-10</t>
  </si>
  <si>
    <t>KBFDG5V-8-2C375N250-EX-M2-PC7-H1-10</t>
  </si>
  <si>
    <t>KBFDG5V-8-33C375N-EX-M1-PE7-H1-10</t>
  </si>
  <si>
    <t>KBFDG5V-8-2C375N-X-M1-PE7-H1-10</t>
  </si>
  <si>
    <t>KBFDG5V-7-2C150N85-X-M2-PC7-H1-10</t>
  </si>
  <si>
    <t>KBFDG5V-7-2C200N-EX-M1-PE7-H1-10</t>
  </si>
  <si>
    <t>KBFDG5V-7-33C160N-X-M1-PE7-H1-10</t>
  </si>
  <si>
    <t>KBFDG5V-7-2C200N-X-M1-PE7-H1-10</t>
  </si>
  <si>
    <t>KBFDG5V-7-2C150N85-EX-M1-PE7-H1-10</t>
  </si>
  <si>
    <t>KBFDG5V-5-2C70N45-EX-M1-PE7-H1-10</t>
  </si>
  <si>
    <t>KBFDG5V-5-33C80N-EX-M1-PE7-H1-10</t>
  </si>
  <si>
    <t>KBFDG5V-7-33C160N-EX-M1-PE7-H1-10</t>
  </si>
  <si>
    <t>KBFDG5V-8-33C375N-X-M1-PE7-H1-10</t>
  </si>
  <si>
    <t>KBFDG5V-8-33C375N-EX-M2-PE7-H1-10</t>
  </si>
  <si>
    <t>KBFDG5V-8-2C375N-EX-M1-PE7-H1-10</t>
  </si>
  <si>
    <t>KBFDG5V-5-33C60N40-EX-M1-PE7-H1-10</t>
  </si>
  <si>
    <t>KBFDG5V-7-33C130N65-EX-M1-PE7-H1-10</t>
  </si>
  <si>
    <t>KBFDG5V-8-2C375N250-EX-M1-PE7-H1-10</t>
  </si>
  <si>
    <t>KBFDG5V-8-33C375N250-EX-M1-PE7-H1-10</t>
  </si>
  <si>
    <t>KBFDG5V-5-33C60N40-X-M1-PE7-H1-10</t>
  </si>
  <si>
    <t>KBFDG5V-8-33C375N250-X-M1-PE7-H1-10</t>
  </si>
  <si>
    <t>KBFDG5V-5-2C70N45-X-M1-PE7-H1-10</t>
  </si>
  <si>
    <t>KBFDG5V-7-33C130N65-X-M1-PE7-H1-10</t>
  </si>
  <si>
    <t>KBFDG5V-7-2C200N-EX-M2-PE7-H1-10</t>
  </si>
  <si>
    <t>KBFDG5V-7-2C200N-X-M2-PE7-H1-10</t>
  </si>
  <si>
    <t>KBFDG5V-5-2C95N-X-M2-PE7-H1-10</t>
  </si>
  <si>
    <t>KBFDG5V-7-33C160N-X-M2-PE7-H1-10</t>
  </si>
  <si>
    <t>KBFDG5V-7-33C160N-EX-M2-PE7-H1-10</t>
  </si>
  <si>
    <t>KBFDG5V-8-33C375N-X-M2-PE7-H1-10</t>
  </si>
  <si>
    <t>KBFDG5V-8-2C375N-X-M2-PE7-H1-10</t>
  </si>
  <si>
    <t>KBFDG5V-7-33C130N65-EX-M2-PE7-H1-10</t>
  </si>
  <si>
    <t>KBFDG5V-5-33C80N-X-M2-PE7-H1-10</t>
  </si>
  <si>
    <t>KBFDG5V-8-33C375N-X-M2-PH7-H1-10</t>
  </si>
  <si>
    <t>KBFDG5V-7-33C160N-EX-M2-PH7-H1-10</t>
  </si>
  <si>
    <t>KBFDG5V-5-33C80N-EX-M2-PH7-H1-10</t>
  </si>
  <si>
    <t>KBFDG5V-5-33C80N-X-M1-PC7-H1-10</t>
  </si>
  <si>
    <t>KBFDG5V-8-2C375N250-EX-M1-PC7-H1-10</t>
  </si>
  <si>
    <t>KBFDG5V-7-2C200N-X-M1-PC7-H1-10</t>
  </si>
  <si>
    <t>KBFDG5V-5-33C80N-EX-M2-PE7-H1-10</t>
  </si>
  <si>
    <t>KBFDG5V-7-2C200N-X-M2-PH7-H1-10</t>
  </si>
  <si>
    <t>KBDG4V-3-33C13N-M1-PH7-H7-10</t>
  </si>
  <si>
    <t>KBDG4V-3-33C20N-M1-PH7-H7-10</t>
  </si>
  <si>
    <t>KDG3V-8-2C330N-E-20</t>
  </si>
  <si>
    <t>KBDG5V-7-2C180N100-X-H-M1-PE7-H1-10</t>
  </si>
  <si>
    <t>KBDG5V-7-2C180N-X-T-M2-PE7-H1-10</t>
  </si>
  <si>
    <t>KBFDG5V-8-33C375N250-EX-M2-PE7-H1-10</t>
  </si>
  <si>
    <t>KBFDG5V-8-33C375N-EX-M2-PH7-H1-10</t>
  </si>
  <si>
    <t>KBFDG5V-8-33C375N250-EX-M2-PH7-H1-10</t>
  </si>
  <si>
    <t>KHDG5V-8-33C375N-EX-VM-U1-H1-30</t>
  </si>
  <si>
    <t>KBCG-3-L250D-Z-M1-3-A-PE7-H1-10</t>
  </si>
  <si>
    <t>KBFDG5V-8-2C375N250-X-M1-PE7-H1-10</t>
  </si>
  <si>
    <t>KBDG5V-5-33C80N-X-T-M1-PE7-H1-10</t>
  </si>
  <si>
    <t>KBDG5V-5-33C60N35-X-M2-PE7-H1-10</t>
  </si>
  <si>
    <t>KBDG4V-5-33C50N25-Z-M2-PE7-H7-10</t>
  </si>
  <si>
    <t>KBCG-3-250D-Z-M1-2-A-PH7-H1-10</t>
  </si>
  <si>
    <t>KBDG4V-3-2C28N-M1-PC7-H7-10</t>
  </si>
  <si>
    <t>KBTG4V-5-2B30N-Z-M2-PE7-H7-10</t>
  </si>
  <si>
    <t>KBDG5V-8-33C330N-EX-H-M1-PH7-H1-10</t>
  </si>
  <si>
    <t>KDG4V-3-2C30N-Z-M-KUP4-H7-60</t>
  </si>
  <si>
    <t>KBDG5V-7-33C130N65-X-M2-PE7-H1-10</t>
  </si>
  <si>
    <t>KBDG5V-5-2C90N-E-M1-PH7-H1-10</t>
  </si>
  <si>
    <t>KBDG4V-3-33C20N-M2-PE7-H7-10</t>
  </si>
  <si>
    <t>KBDG5V-7-33C130N65-T-M2-PE7-H1-10</t>
  </si>
  <si>
    <t>KBFDG5V-8-2C375N-EX-M1-PR7-H1-10</t>
  </si>
  <si>
    <t>KBDG5V-7-33C170N-M2-PH7-H1-10</t>
  </si>
  <si>
    <t>KBDG4V-5-2C70N-Z-M2-PH7-H7-10</t>
  </si>
  <si>
    <t>KBFDG5V-5-2C95N-X-M1-PC7-H1-10</t>
  </si>
  <si>
    <t>KBDG5V-7-2C180N100-X-M2-PE7-H1-10</t>
  </si>
  <si>
    <t>KBCG-3-L350D-Z-M2-2-A-PE7-H1-10</t>
  </si>
  <si>
    <t>KBFDG5V-7-2C150N85-X-M2-PE7-H1-10</t>
  </si>
  <si>
    <t>KBFDG5V-8-2C375N-EX-M2-PE7-H1-10</t>
  </si>
  <si>
    <t>KDG5V-8-33C330N200-EX-H-M-U-H1-20</t>
  </si>
  <si>
    <t>KBDG4V-3-2C28N-H-M2-PC7-H7-10</t>
  </si>
  <si>
    <t>KDG5V-7-2C180N-E-T-M-U-H1-10</t>
  </si>
  <si>
    <t>KDG5V-8-33C330N-X-T-VM-U-H1-20</t>
  </si>
  <si>
    <t>KBDG4V-3-2C03F-M1-PC7-H7-10</t>
  </si>
  <si>
    <t>KBFDG5V-8-33C375N250-X-M2-PE7-H1-10</t>
  </si>
  <si>
    <t>KDG5V-7-33C130N65-T-VM-U-H1-10</t>
  </si>
  <si>
    <t>KBDG4V-5-33C50N-Z-M2-PH7-H7-10</t>
  </si>
  <si>
    <t>KBFDG5V-7-33C160N-X-M2-PH7-H1-10</t>
  </si>
  <si>
    <t>KBDG5V-7-33C130N65-M2-PE7-H1-10</t>
  </si>
  <si>
    <t>KBDG4V-3-2C03F-Z-M2-PE7-H7-10</t>
  </si>
  <si>
    <t>KBDG4V-5-2C50N-Z-M2-PH7-H7-10</t>
  </si>
  <si>
    <t>KBDG4V-3-33C03F-M2-PH7-H7-10</t>
  </si>
  <si>
    <t>KBDG4V-3-33C13N-M1-PC7-H7-10</t>
  </si>
  <si>
    <t>KTG4V-3-2B28S-M-U-G7-60</t>
  </si>
  <si>
    <t>KBDG5V-7-33C170N-T-M1-PH7-H1-10</t>
  </si>
  <si>
    <t>KBDG5V-5-2C90N-M2-PE7-H1-10</t>
  </si>
  <si>
    <t>KBFDG5V-7-2C200N-EX-M1-PC7-H1-10</t>
  </si>
  <si>
    <t>KDG5V-8-33C330N-X-T-M-U-H1-20</t>
  </si>
  <si>
    <t>KBDG5V-5-2C90N-M1-PH7-H1-10</t>
  </si>
  <si>
    <t>KDG5V-8-33C330N200-X-T-VM-U-H1-20</t>
  </si>
  <si>
    <t>KBFDG5V-7-33C130N65-X-M2-PE7-H1-10</t>
  </si>
  <si>
    <t>KBDG4V-5-33C30N-Z-M2-PE7-H7-10</t>
  </si>
  <si>
    <t>KDG4V-3-33C27N-M-KUP5-G7-60</t>
  </si>
  <si>
    <t>KBDG5V-8-33C330N200-X-M2-PE7-H1-10</t>
  </si>
  <si>
    <t>KCG-3-L350-D-Z-M-U1-HA1-10-P15-T99</t>
  </si>
  <si>
    <t>KBDG5V-7-33C170N-X-T-M1-PH7-H1-10</t>
  </si>
  <si>
    <t>KDG5V-8-33C330N-X-VM-U-H1-20</t>
  </si>
  <si>
    <t>KBDG4V-3-33C03F-M2-PE7-H7-10</t>
  </si>
  <si>
    <t>KDG4V-3-2C30N-M-U-H7-60</t>
  </si>
  <si>
    <t>KCG-3-L250D-Z-M-U-HA1-10</t>
  </si>
  <si>
    <t>KBDG5V-8-33C330N-X-T-M1-PH7-H1-10</t>
  </si>
  <si>
    <t>KDG5V-8-33C330N-X-T-H-M-U-H1-20</t>
  </si>
  <si>
    <t>KBFDG5V-8-33C375N-EX-M1-PC7-H1-10</t>
  </si>
  <si>
    <t>KBDG5V-7-33C170N-X-M2-PE7-H1-10</t>
  </si>
  <si>
    <t>KBCG5-3-160D-Z-T-M1-4-A-PC7-H1-10</t>
  </si>
  <si>
    <t>KBCG5-3-40D-Z-T-M1-4-A-PE7-H1-10</t>
  </si>
  <si>
    <t>KBCG5-3-100D-Z-T-M1-4-A-PE7-H1-10</t>
  </si>
  <si>
    <t>KBCG5-3-250D-Z-T-M2-4-A-PE7-H1-10</t>
  </si>
  <si>
    <t>KBCG5-3-350D-Z-M1-4-A-PC7-H7-10</t>
  </si>
  <si>
    <t>KCG-3-L350-D-Z-M-U-HA1-10-P18-T14</t>
  </si>
  <si>
    <t>KBFDG5V-7-33C160N-X-M1-PH7-H1-10</t>
  </si>
  <si>
    <t>KBFDG5V-7-2C200N-EX-M1-PH7-H1-10</t>
  </si>
  <si>
    <t>KBCG-3-L100D-Z-M2-3-A-PE7-H1-10-P18-T15</t>
  </si>
  <si>
    <t>KBCG-6-W100-Z-M2-3-A-PE7-H1-10</t>
  </si>
  <si>
    <t>KBDG4V-5-2C30N-Z-M2-PH7-H7-10</t>
  </si>
  <si>
    <t>KBDG4V-3-2C20N-Z-M2-PH7-H7-10</t>
  </si>
  <si>
    <t>KBDG4V-3-33C07N-Z-M2-PH7-H7-10</t>
  </si>
  <si>
    <t>KDG4V-5-2C70N-H-M-U-H7-30</t>
  </si>
  <si>
    <t>KBFDG5V-5-33C60N40-EX-M2-PE7-H1-10</t>
  </si>
  <si>
    <t>KBFDG5V-8-2C375N250-EX-M2-PE7-H1-10</t>
  </si>
  <si>
    <t>KDG4V-3-2C30N-H-M-KUP4-HA7-60</t>
  </si>
  <si>
    <t>KBFDG5V-5-2C95N-X-M1-PH7-H1-10</t>
  </si>
  <si>
    <t>KHDG5V-8-2C375N250-EX-VM-U1-H1-30</t>
  </si>
  <si>
    <t>KBDG4V-5-33C70N-Z-M1-PC7H7-10-EN56</t>
  </si>
  <si>
    <t>KBFDG5V-5-33C60N40-X-M2-PE7-H1-10</t>
  </si>
  <si>
    <t>KBFDG5V-7-33C130N65-X-M2-PH7-H1-10</t>
  </si>
  <si>
    <t>KBFDG5V-7-33C130N65-EX-M2-PC7-H1-10</t>
  </si>
  <si>
    <t>KBFDG5V-5-2C95N-EX-M2-PC7-H1-10</t>
  </si>
  <si>
    <t>KCG-3-250-D-Z-M-U-HL1-10-P99-T99</t>
  </si>
  <si>
    <t>KBFDG5V-7-2C150N85-EX-M1-PH7-H1-10</t>
  </si>
  <si>
    <t>KBFDG5V-8-33C375N250-EX-M1-PH7-H1-10</t>
  </si>
  <si>
    <t>KFDG4V-3-2C28S-Z-VM-U1-H6</t>
  </si>
  <si>
    <t>KFDG4V-5-2C65S-Z-VM-U1-H6-20</t>
  </si>
  <si>
    <t>KFDG4V-5-2C50N-Z-VM-U1-H7-20</t>
  </si>
  <si>
    <t>KFDG4V-5-2C70N-Z-VM-U1-H7-20</t>
  </si>
  <si>
    <t>KFDG4V-5-33C50N-Z-VM-U1-H7-20</t>
  </si>
  <si>
    <t>KFTG4V-5-2B50N-Z-VM-U1-H7-20</t>
  </si>
  <si>
    <t>KFTG4V-5-2B70N-Z-VM-U1-H7-20</t>
  </si>
  <si>
    <t>KDG4V-5-2C30N-Z-M-U-H7-30</t>
  </si>
  <si>
    <t>KDG4V-5-2C50N-Z-M-U-H7-30</t>
  </si>
  <si>
    <t>KDG4V-5-2C65S-Z-M-U-H6-30</t>
  </si>
  <si>
    <t>KDG4V-5-33C30N-Z-M-U-H7-30</t>
  </si>
  <si>
    <t>KDG4V-5-33C50N-Z-M-U-H7-30</t>
  </si>
  <si>
    <t>KTG4V-5-2B50N-Z-M-U-H7-30</t>
  </si>
  <si>
    <t>KTG4V-5-2B30N-Z-M-U-H7-30</t>
  </si>
  <si>
    <t>KTG4V-5-33B30N-Z-M-U-H7-30</t>
  </si>
  <si>
    <t>KTG4V-5-33B50N-Z-M-U-H7-30</t>
  </si>
  <si>
    <t>KFDG4V-3-2C07N-Z-M-U1-H7-20</t>
  </si>
  <si>
    <t>KFDG4V-3-2C07N-Z-VM-U1-H7-20</t>
  </si>
  <si>
    <t>KFDG4V-3-2C13N-Z-M-U1-H7-20</t>
  </si>
  <si>
    <t>KFDG4V-3-2C13N-Z-VM-U1-H7-20</t>
  </si>
  <si>
    <t>KFDG4V-3-2C20N-Z-M-U1-H7-20</t>
  </si>
  <si>
    <t>KFDG4V-3-2C20N-Z-VM-U1-H7-20</t>
  </si>
  <si>
    <t>KFDG4V-3-2C28S-Z-M-U1-H6</t>
  </si>
  <si>
    <t>KFDG4V-3-33C07N-Z-VM-U1-H7-20</t>
  </si>
  <si>
    <t>KFDG4V-3-33C13N-Z-VM-U1-H7-20</t>
  </si>
  <si>
    <t>KFDG4V-3-33C20N-Z-M-U1-H7-20</t>
  </si>
  <si>
    <t>KFDG4V-3-33C20N-Z-VM-U1-H7-20</t>
  </si>
  <si>
    <t>KFTG4V-3-2B07N-Z-M-U1-H7-20</t>
  </si>
  <si>
    <t>KFTG4V-3-2B07N-Z-VM-U1-H7-20</t>
  </si>
  <si>
    <t>KFTG4V-3-2B13N-Z-M-U1-H7-20</t>
  </si>
  <si>
    <t>KFTG4V-3-2B13N-Z-VM-U1-H7-20</t>
  </si>
  <si>
    <t>KFTG4V-3-2B20N-Z-M-U1-H7-20</t>
  </si>
  <si>
    <t>KFTG4V-3-2B20N-Z-VM-U1-H7-20</t>
  </si>
  <si>
    <t>KFDG4V-3-33C13N-Z-M-U1-H7-20</t>
  </si>
  <si>
    <t>KFDG4V-5-2C65S-Z-M-U1-H6-20</t>
  </si>
  <si>
    <t>KFDG4V-5-33C50N-Z-M-U1-H7-20</t>
  </si>
  <si>
    <t>KFTG4V-5-2B50N-Z-M-U1-H7-20</t>
  </si>
  <si>
    <t>KFTG4V-5-2B70N-Z-M-U1-H7-20</t>
  </si>
  <si>
    <t>KFDG4V-5-2C70N-Z-M-U1-H7-20</t>
  </si>
  <si>
    <t>KFDG4V-5-2C50N-Z-M-U1-H7-20</t>
  </si>
  <si>
    <t>KBDG5V-7-33C170N100-M2-PE7-H1-10</t>
  </si>
  <si>
    <t>KHDG5V-8-PQ375-EX-VM-U1-H1-30</t>
  </si>
  <si>
    <t>KDG5V-7-33C170N100-T-M-U-H1-10</t>
  </si>
  <si>
    <t>KBDG4V-5-33C50N25-H-M2-PE7-H7-10</t>
  </si>
  <si>
    <t>KDG4V-5-33C70N-M-U-H7-30-EN56</t>
  </si>
  <si>
    <t>KBFDG5V-5-2C70N45-EX-M2-PE7-H1-10</t>
  </si>
  <si>
    <t>KDG4V-3-2C03F-Z-M-U-GP7-60</t>
  </si>
  <si>
    <t>KBFDG5V-5-2C70N45-EX-M2-PC7-H1-10</t>
  </si>
  <si>
    <t>KBFDG5V-5-33C60N40-EX-M2-PC7-H1-10</t>
  </si>
  <si>
    <t>KBFDG5V-5-33C80N-EX-M2-PC7-H1-10</t>
  </si>
  <si>
    <t>KBFDG5V-7-2C200N-EX-M2-PC7-H1-10</t>
  </si>
  <si>
    <t>KBFDG5V-8-2C375N-EX-M2-PC7-H1-10</t>
  </si>
  <si>
    <t>KBFDG5V-8-33C375N250-EX-M2-PC7-H1-10</t>
  </si>
  <si>
    <t>KBFDG5V-8-33C375N-EX-M2-PC7-H1-10</t>
  </si>
  <si>
    <t>KCG-3-L350D-Z-M-U-HL1-10-T18</t>
  </si>
  <si>
    <t>KHDG5V-8-33C375N-X-VM-U1-H1-30</t>
  </si>
  <si>
    <t>KHDG5V-8-2C375N-X-VM-U1-H1-30</t>
  </si>
  <si>
    <t>KBDG4V-5-33C70N-Z-M2-PE7-H7-10-EN56</t>
  </si>
  <si>
    <t>KBFDG4V-3-33C27N-Z-M2-PE7-H7-12</t>
  </si>
  <si>
    <t>KHDG5V-8-33C375N250-EX-VM-U1-H1-30</t>
  </si>
  <si>
    <t>KCG-3-100D-Z-M-U-HL1-10-P15-T12</t>
  </si>
  <si>
    <t>KDG5V-8-33C330N-T-H-M-U-H1-20</t>
  </si>
  <si>
    <t>KDG5V-8-2C330N-M-U-H1-20</t>
  </si>
  <si>
    <t>KDG5V-8-2C330N-X-M-U-H1-20</t>
  </si>
  <si>
    <t>KDG5V-8-33C330N-EX-H-M-U-H1-20</t>
  </si>
  <si>
    <t>KDG5V-8-33C330N-X-H-M-U-G1-20</t>
  </si>
  <si>
    <t>KDG5V-8-33C330N-E-H-M-U-H1-20</t>
  </si>
  <si>
    <t>KDG5V-7-33C85N-H-M-U-H1-10</t>
  </si>
  <si>
    <t>KDG5V-8-133C330N200-X-T-VM-U-H1-20</t>
  </si>
  <si>
    <t>KDG5V-8-33C330N200-X-T-M-U-H1-20</t>
  </si>
  <si>
    <t>KDG5V-8-33C330N200-X-T-H-VM-U-H1-20</t>
  </si>
  <si>
    <t>KDG5V-5-33C80N-X-T-H-VM-U-H1-10</t>
  </si>
  <si>
    <t>KBDG4V-3-33C13N-M2-PH7-H7-10</t>
  </si>
  <si>
    <t>KBDG4V-5-2C65S-Z-M1-PH7-H6-10</t>
  </si>
  <si>
    <t>KBDG4V-5-2C50N-Z-M1-PH7-H7-10</t>
  </si>
  <si>
    <t>KBTG4V-3-2B13N-Z-M1-PE7-H7-10</t>
  </si>
  <si>
    <t>KBDG4V-3-2C07N-M2-PE7-H7-10</t>
  </si>
  <si>
    <t>KBDG4V-3-2C03F-M1-PE7-H7-10</t>
  </si>
  <si>
    <t>KBDG4V-3-2C13N-Z-M2-PH7-H7-10</t>
  </si>
  <si>
    <t>KBDG4V-3-33C20N-Z-M1-PH7-H7-10</t>
  </si>
  <si>
    <t>KBDG4V-5-2C30N-Z-M1-PH7-H7-10</t>
  </si>
  <si>
    <t>KBDG4V-3-33C07N-Z-M1-PH7-H7-10</t>
  </si>
  <si>
    <t>KBDG4V-3-33C03F-Z-M1-PH7-H7-10</t>
  </si>
  <si>
    <t>KBDG4V-3-2C28N-M1-PH7-H7-10</t>
  </si>
  <si>
    <t>KBDG4V-3-33C20N-Z-M2-PH7-H7-10</t>
  </si>
  <si>
    <t>KBDG4V-5-2C50N25-Z-M2-PE7-H7-10</t>
  </si>
  <si>
    <t>KBDG4V-3-2C03F-H-M2-PE7-H7-10</t>
  </si>
  <si>
    <t>KBDG4V-5-2C70N-H-M2-PC7-H7-10</t>
  </si>
  <si>
    <t>KBDG4V-5-33C50N-H-M1-PE7-H7-10</t>
  </si>
  <si>
    <t>KBDG5V-5-33C80N-M2-PH7-H1-10</t>
  </si>
  <si>
    <t>KBDG5V-8-33C330N-M1-PH7-H1-10</t>
  </si>
  <si>
    <t>KBDG5V-7-2C180N-E-T-H-M1-PE7-H1-10</t>
  </si>
  <si>
    <t>KBDG5V-8-33C330N-X-H-M2-PE7-H1-10</t>
  </si>
  <si>
    <t>KBDG5V-7-33C170N-EX-M1-PH7-H1-10</t>
  </si>
  <si>
    <t>KBDG5V-7-2C180N-EX-M1-PH7-H1-10</t>
  </si>
  <si>
    <t>KBDG5V-7-2C180N-T-H-M1-PE7-H1-10</t>
  </si>
  <si>
    <t>KBDG5V-8-33C330N-T-M2-PE7-H1-10</t>
  </si>
  <si>
    <t>KBDG5V-5-2C90N-EX-M2-PE7-H1-10</t>
  </si>
  <si>
    <t>KBDG5V-5-33C80N-EX-T-H-M1-PE7-H1-10</t>
  </si>
  <si>
    <t>KBDG5V-5-33C80N-X-M2-PE7-H1-10</t>
  </si>
  <si>
    <t>KBDG5V-7-33C85N-X-M1-PE7-H1-10</t>
  </si>
  <si>
    <t>KBDG5V-7-2C180N-X-M2-PE7-H1-10</t>
  </si>
  <si>
    <t>KBDG5V-5-33C80N-EX-H-M1-PC7-H1-10</t>
  </si>
  <si>
    <t>KBDG5V-7-33C85N-EX-M2-PC7-H1-10</t>
  </si>
  <si>
    <t>KBDG5V-5-33C80N-E-M2-PC7-H1-10</t>
  </si>
  <si>
    <t>KBDG5V-7-33C170N100-EX-M1-PE7-H1-10</t>
  </si>
  <si>
    <t>KBDG5V-5-2C90N-T-M2-PH7-H1-10</t>
  </si>
  <si>
    <t>KBDG5V-5-2C90N-X-M2-PE7-H1-10</t>
  </si>
  <si>
    <t>KBDG5V-7-2C180N100-X-T-M2-PH7-H1-10</t>
  </si>
  <si>
    <t>KBDG5V-5-33C60N35-EX-T-M2-PE7-H1-10</t>
  </si>
  <si>
    <t>KBDG5V-7-2C180N100-X-T-M2-PE7-H1-10</t>
  </si>
  <si>
    <t>KBDG5V-7-33C130N65-EX-M1-PE7-H1-10</t>
  </si>
  <si>
    <t>KBCG-3-350D-Z-M1-1-A-PC7-H1-10</t>
  </si>
  <si>
    <t>KBCG-3-100D-Z-M2-1-A-PC7-H1-10</t>
  </si>
  <si>
    <t>KBH1-08-02-NS-EX-T-11-C-NS-002-10</t>
  </si>
  <si>
    <t>KBH1-08-01-NS-EX-T-11-C-NS-002-10</t>
  </si>
  <si>
    <t>KBH2-08-01-NS-EX-D-11-C-CO-NS-A-NS-VSC-NS-002-10</t>
  </si>
  <si>
    <t>KBH1-08-02-NS-TX-T-11-C-NS-002-10</t>
  </si>
  <si>
    <t>KBH2-08-02-NS-TX-T-11-C-CO-NS-A-NS-VSC-NS-002-10</t>
  </si>
  <si>
    <t>KBH2-08-02-NS-TX-D-11-E-CO-NS-A-NS-VSC-NS-002-10</t>
  </si>
  <si>
    <t>KBH2-08-02-NS-TX-T-11-E-CO-NS-A-NS-VSC-NS-002-10</t>
  </si>
  <si>
    <t>KBH1-08-02-NS-TS-T-11-E-NS-002-10</t>
  </si>
  <si>
    <t>KBH2-08-01-NS-TS-T-11-E-CO-NS-A-NS-VSC-NS-002-10</t>
  </si>
  <si>
    <t>KBH2-08-01-NS-ES-D-11-E-CO-NS-A-NS-VSC-NS-002-10</t>
  </si>
  <si>
    <t>KBH1-08-03-NS-TS-D-11-E-NS-002-10</t>
  </si>
  <si>
    <t>KBH2-08-04-NS-EX-T-11-E-CO-NS-A-NS-VSC-NS-002-10</t>
  </si>
  <si>
    <t>KBH2-08-06-NS-EX-T-11-C-CO-NS-A-NS-VSC-NS-002-10</t>
  </si>
  <si>
    <t>KBH1-08-02-NS-ES-D-11-C-NS-002-10</t>
  </si>
  <si>
    <t>KBH1-08-01-NS-EX-D-11-E-NS-002-10</t>
  </si>
  <si>
    <t>KBH1-08-02-NS-TX-D-22-R-NS-002-10</t>
  </si>
  <si>
    <t>KBH1-08-07-NS-ES-D-11-E-NS-002-10</t>
  </si>
  <si>
    <t>KBH2-07-01-NS-EX-D-11-C-CO-NS-A-NS-VSC-NS-002-10</t>
  </si>
  <si>
    <t>KBH1-08-01-NS-ES-D-11-E-NS-002-10</t>
  </si>
  <si>
    <t>KBH1-08-04-NS-TX-D-22-E-NS-002-10</t>
  </si>
  <si>
    <t>KBH2-08-06-NS-EX-D-11-E-CO-NS-D-NS-VSC-NS-002-10</t>
  </si>
  <si>
    <t>KBH2-08-03-NS-TX-D-11-E-CO-NS-A-NS-VSC-NS-002-10</t>
  </si>
  <si>
    <t>KBH1-05-06-NS-TX-D-22-E-NS-002-10</t>
  </si>
  <si>
    <t>KBH1-08-03-NS-EX-D-11-E-NS-002-10</t>
  </si>
  <si>
    <t>KBH2-08-01-NS-TX-T-11-E-CO-NS-A-CW-VSC-NS-001-10</t>
  </si>
  <si>
    <t>KBH2-08-01-NS-TX-T-11-E-CO-NS-A-CW-VSC-NS-002-10</t>
  </si>
  <si>
    <t>KBS1-03-02-NS-11-E-NS-001-10</t>
  </si>
  <si>
    <t>KBS1-03-02-NS-11-E-NS-002-10</t>
  </si>
  <si>
    <t>KBS1-03-04-NS-11-E-NS-002-10</t>
  </si>
  <si>
    <t>KBS1-03-06-NS-11-E-NS-002-10</t>
  </si>
  <si>
    <t>KBS1-03-05-NS-11-E-NS-002-10</t>
  </si>
  <si>
    <t>KBS1-03-03-NS-11-E-NS-002-10</t>
  </si>
  <si>
    <t>KBS1-05-03-NS-11-E-NS-001-10</t>
  </si>
  <si>
    <t>KBS1-05-03-NS-11-E-NS-002-10</t>
  </si>
  <si>
    <t>KBS1-05-07-NS-11-E-NS-002-10</t>
  </si>
  <si>
    <t>KBS1-03-07-NS-11-E-NS-002-10</t>
  </si>
  <si>
    <t>KBS1-05-01-NS-11-E-NS-002-10</t>
  </si>
  <si>
    <t>KBS1-03-01-NS-11-E-NS-002-10</t>
  </si>
  <si>
    <t>KBS2-03-01-NS-11-E-CO-A-NS-VSC-NS-002-10</t>
  </si>
  <si>
    <t>KBS2-03-03-NS-11-E-CO-A-NS-VSC-NS-002-10</t>
  </si>
  <si>
    <t>KBS2-03-05-NS-11-E-CO-A-NS-VSC-NS-002-10</t>
  </si>
  <si>
    <t>KBS1-05-02-NS-11-E-NS-002-10</t>
  </si>
  <si>
    <t>KBS2-05-01-NS-11-E-CO-A-NS-VSC-NS-001-10</t>
  </si>
  <si>
    <t>KBS2-05-01-NS-11-E-CO-A-NS-VSC-NS-002-10</t>
  </si>
  <si>
    <t>KBS2-05-02-NS-11-E-CO-A-NS-VSC-NS-002-10</t>
  </si>
  <si>
    <t>KBS1-05-05-NS-11-E-NS-002-10</t>
  </si>
  <si>
    <t>KBS2-05-05-NS-11-E-CO-A-NS-VSC-NS-002-10</t>
  </si>
  <si>
    <t>KBS2-05-06-NS-11-E-CO-A-NS-VSC-NS-002-10</t>
  </si>
  <si>
    <t>KBS3-05-05-NS-11-E-CO-A-CW-VSC-NS-002-10</t>
  </si>
  <si>
    <t>KBS2-03-09-NS-11-E-CO-D-NS-VSC-NS-002-10</t>
  </si>
  <si>
    <t>KBS2-05-01-NS-11-C-CO-A-NS-VSC-NS-002-10</t>
  </si>
  <si>
    <t>KBS1-05-06-NS-11-E-NS-002-10</t>
  </si>
  <si>
    <t>KBS1-05-04-NS-11-E-NS-002-10</t>
  </si>
  <si>
    <t>KBS1-05-02-NS-11-C-NS-002-10</t>
  </si>
  <si>
    <t>KBS1-05-06-NS-11-C-NS-002-10</t>
  </si>
  <si>
    <t>KBS1-05-03-NS-11-C-NS-002-10</t>
  </si>
  <si>
    <t>KBS1-05-03-NS-11-H-NS-002-10</t>
  </si>
  <si>
    <t>KBS1-05-03-NS-22-H-NS-002-10</t>
  </si>
  <si>
    <t>KBS1-05-02-NS-11-H-NS-002-10</t>
  </si>
  <si>
    <t>KBS1-05-02-NS-22-E-NS-002-10</t>
  </si>
  <si>
    <t>KBS1-05-02-NS-22-H-NS-002-10</t>
  </si>
  <si>
    <t>KBS1-05-06-NS-11-H-NS-002-10</t>
  </si>
  <si>
    <t>KBS1-05-06-NS-22-E-NS-002-10</t>
  </si>
  <si>
    <t>KBS2-03-01-NS-11-E-CO-D-NS-VSC-NS-002-10</t>
  </si>
  <si>
    <t>KBS3-03-01-NS-11-C-CO-D-NS-VSC-NS-002-10</t>
  </si>
  <si>
    <t>KBS1-05-06-NS-21-E-NS-001-10</t>
  </si>
  <si>
    <t>KBS1-05-06-NS-21-E-NS-002-10</t>
  </si>
  <si>
    <t>KBS3-05-02-NS-11-E-CO-A-CW-VSC-NS-002-10</t>
  </si>
  <si>
    <t>KBS1-05-01-NS-11-C-NS-002-10</t>
  </si>
  <si>
    <t>KBS2-03-04-NS-11-E-CO-A-NS-VSC-NS-002-10</t>
  </si>
  <si>
    <t>KBS3-03-02-NS-11-E-CO-A-NS-VSC-NS-002-10</t>
  </si>
  <si>
    <t>KBS2-03-07-NS-11-E-CO-A-NS-VSC-NS-002-10</t>
  </si>
  <si>
    <t>KBS2-03-08-NS-11-E-CO-A-NS-VSC-NS-002-10</t>
  </si>
  <si>
    <t>KBS3-03-01-NS-11-E-CO-A-CW-VSC-NS-002-10</t>
  </si>
  <si>
    <t>KBS3-03-04-NS-11-E-CO-A-NS-VSC-NS-002-10</t>
  </si>
  <si>
    <t>KBS2-03-01-NS-11-C-CO-A-NS-VSC-NS-002-10</t>
  </si>
  <si>
    <t>KBS3-05-03-NS-11-E-CO-A-NS-VSC-NS-002-10</t>
  </si>
  <si>
    <t>KBS3-05-08-NS-11-E-CO-A-CW-VSC-NS-002-10</t>
  </si>
  <si>
    <t>KBS2-05-05-NS-11-E-CO-A-CW-VSC-NS-002-10</t>
  </si>
  <si>
    <t>KBS3-05-18-NS-11-E-CO-A-CW-VSC-NS-002-10</t>
  </si>
  <si>
    <t>KBS2-03-04-NS-11-E-CO-D-NS-VSC-NS-002-10</t>
  </si>
  <si>
    <t>KBS1-05-18-NS-22-H-NS-002-10</t>
  </si>
  <si>
    <t>KBS2-03-26-NS-11-E-CO-A-NS-VSC-NS-002-10</t>
  </si>
  <si>
    <t>KBS2-05-06-NS-11-E-CO-D-NS-VSC-NS-002-10</t>
  </si>
  <si>
    <t>KBS1-03-05-NS-11-C-NS-002-10</t>
  </si>
  <si>
    <t>KBS1-03-05-NS-22-R-NS-002-10</t>
  </si>
  <si>
    <t>KBS3-05-01-NS-11-E-CO-D-CW-VSC-NS-002-10</t>
  </si>
  <si>
    <t>KBS3-03-03-NS-11-E-CO-D-CW-VSC-NS-002-10</t>
  </si>
  <si>
    <t>KBS1-03-01-NS-22-E-NS-002-10</t>
  </si>
  <si>
    <t>KBS2-03-05-NS-11-E-CO-D-NS-VSC-NS-002-10</t>
  </si>
  <si>
    <t>KBS2-03-03-NS-11-E-CO-D-NS-VSC-NS-002-10</t>
  </si>
  <si>
    <t>KBS2-03-28-NS-11-E-CO-D-NS-VSC-NS-002-10</t>
  </si>
  <si>
    <t>KBS2-03-28-NS-11-E-CO-A-NS-VSC-NS-002-10</t>
  </si>
  <si>
    <t>KBS2-05-05-NS-11-E-CO-D-NS-VSC-NS-002-10</t>
  </si>
  <si>
    <t>KBS1-03-17-NS-11-E-NS-002-10</t>
  </si>
  <si>
    <t>KBS3-03-02-NS-11-E-CO-D-CW-VSC-NS-002-10</t>
  </si>
  <si>
    <t>KBS3-03-02-NS-11-E-CO-D-NS-VSC-NS-002-10</t>
  </si>
  <si>
    <t>KBS2-03-02-NS-11-E-CO-D-NS-VSC-NS-001-10</t>
  </si>
  <si>
    <t>KBS2-03-04-NS-11-E-CO-D-CW-VSC-NS-002-10</t>
  </si>
  <si>
    <t>KBS1-03-01-NS-22-H-NS-002-10</t>
  </si>
  <si>
    <t>KBS3-03-01-NS-11-E-CO-D-CW-VSC-NS-002-10</t>
  </si>
  <si>
    <t>KBS1-03-13-NS-11-E-NS-001-10</t>
  </si>
  <si>
    <t>KBS1-03-13-NS-11-E-NS-002-10</t>
  </si>
  <si>
    <t>KBS1-03-25-NS-52-E-NS-002-10</t>
  </si>
  <si>
    <t>KBS1-03-28-NS-11-H-NS-002-10</t>
  </si>
  <si>
    <t>KBS2-03-27-NS-11-E-CO-D-NS-VSC-NS-001-10</t>
  </si>
  <si>
    <t>KBS2-03-27-NS-11-E-CO-D-NS-VSC-NS-002-10</t>
  </si>
  <si>
    <t>KBS1-05-01-NS-22-E-NS-001-10</t>
  </si>
  <si>
    <t>KBS1-03-05-NS-11-H-NS-002-10</t>
  </si>
  <si>
    <t>KBS1-03-06-NS-22-E-NS-002-10</t>
  </si>
  <si>
    <t>KBS2-03-06-NS-22-E-CO-A-NS-VSC-NS-002-10</t>
  </si>
  <si>
    <t>KBS2-03-01-NS-22-E-CO-A-CW-VSC-NS-002-10</t>
  </si>
  <si>
    <t>KBS1-03-06-NS-22-H-NS-002-10</t>
  </si>
  <si>
    <t>KBS2-05-06-NS-11-E-CO-A-CW-VSC-NS-002-10</t>
  </si>
  <si>
    <t>KBS1-03-08-NS-22-C-NS-002-10</t>
  </si>
  <si>
    <t>KBS2-03-06-NS-11-C-CO-A-NS-VSC-NS-002-10</t>
  </si>
  <si>
    <t>KBCG-3-L350D-Z-M2-3-A-PE7-H1-11-P15-T10</t>
  </si>
  <si>
    <t>KBDG5V-5-2C90N-T-M2-PH7-H1-11</t>
  </si>
  <si>
    <t>KBFDG4V-5-2C70N-Z-M1-PE7-H7-12</t>
  </si>
  <si>
    <t>KBFDG4V-5-2C50N25-Z-M1-PE7-H7-12</t>
  </si>
  <si>
    <t>KBFDG4V-5-2C50N25-Z-M1-PC7-H7-12</t>
  </si>
  <si>
    <t>KBFDG4V-5-2C50N-Z-M1-PE7-H7-12</t>
  </si>
  <si>
    <t>KBFDG4V-5-2C50N-Z-M1-PC7-H7-12</t>
  </si>
  <si>
    <t>KBFDG4V-5-33C50N25-Z-M1-PE7-H7-12</t>
  </si>
  <si>
    <t>KBFDG4V-5-33C50N-Z-M1-PE7-H7-12</t>
  </si>
  <si>
    <t>KBFDG4V-5-2C65S-Z-M1-PE7-H6-12</t>
  </si>
  <si>
    <t>KBFDG4V-5-33C50N-Z-M1-PH7-H7-12</t>
  </si>
  <si>
    <t>KBFDG4V-5-2C70N-Z-M2-PE7-H7-12</t>
  </si>
  <si>
    <t>KBFDG4V-5-2C70N-Z-M1-PH7-H7-12</t>
  </si>
  <si>
    <t>KBFDG4V-5-33C30N-Z-M1-PH7-H7-12</t>
  </si>
  <si>
    <t>KBFDG4V-5-2C75N45-Z-M2-PE7-H7-12</t>
  </si>
  <si>
    <t>KBFDG4V-5-33C50N-Z-M2-PE7-H7-12</t>
  </si>
  <si>
    <t>KBFDG4V-5-2C50N-Z-M2-PC7-H7-12</t>
  </si>
  <si>
    <t>KBFDG4V-5-2C30N-Z-M1-PE7-H7-12</t>
  </si>
  <si>
    <t>KBFDG4V-5-33C50N-Z-M2-PC7-H7-12</t>
  </si>
  <si>
    <t>KBFDG4V-5-33C50N-Z-M1-PC7-H7-12</t>
  </si>
  <si>
    <t>KBFDG4V-5-2C70N-Z-M1-PC7-H7-12</t>
  </si>
  <si>
    <t>KBFDG4V-5-33C30N-Z-M2-PE7-H7-12</t>
  </si>
  <si>
    <t>KBFDG4V-5-2C50N-Z-M1-PH7-H7-12</t>
  </si>
  <si>
    <t>KBFDG4V-5-9C50N-Z-M1-PE7-H7-12</t>
  </si>
  <si>
    <t>KBFDG4V-5-33C30N-Z-M1-PE7-H7-12</t>
  </si>
  <si>
    <t>KBFDG4V-5-2C50N-Z-M2-PH7-H7-12</t>
  </si>
  <si>
    <t>KBFDG4V-5-2C65S-Z-M1-PC7-H6-12</t>
  </si>
  <si>
    <t>KBFDG4V-5-2C30N-Z-M2-PE7-H7-12</t>
  </si>
  <si>
    <t>KBFDG4V-5-2C50N-Z-M2-PE7-H7-12</t>
  </si>
  <si>
    <t>KBFDG4V-5-2C70N-Z-M2-PH7-H7-12</t>
  </si>
  <si>
    <t>KBFDG4V-5-33C50N-Z-M1-PR7-H7-12</t>
  </si>
  <si>
    <t>KBFDG4V-5-2C50N25-Z-M2-PE7-H7-12</t>
  </si>
  <si>
    <t>KBFDG4V-5-33C50N25-Z-M1-PC7-H7-12</t>
  </si>
  <si>
    <t>KBFDG4V-5-2C70N-Z-M2-PC7-H7-12</t>
  </si>
  <si>
    <t>KBFDG4V-5-33C50N25-Z-M1-PH7-H7-12</t>
  </si>
  <si>
    <t>KBFDG4V-5-2C70N-Z-M1-PR7-H7-12</t>
  </si>
  <si>
    <t>KBFDG4V-5-2C65S-Z-M2-PE7-H6-12</t>
  </si>
  <si>
    <t>KBFDG4V-5-33C50N25-Z-M2-PH7-H7-12</t>
  </si>
  <si>
    <t>KBFDG4V-3-2C20N-Z-M1-PC7-H7-12</t>
  </si>
  <si>
    <t>KBFDG4V-3-2C20N-Z-M1-PE7-H7-12</t>
  </si>
  <si>
    <t>KBFDG4V-3-33C13N-Z-M1-PC7-H7-12</t>
  </si>
  <si>
    <t>KBFTG4V-5-2B70N-Z-M1-PE7-H7-12</t>
  </si>
  <si>
    <t>KBFTG4V-5-2B70N-Z-M1-PC7-H7-12</t>
  </si>
  <si>
    <t>KBFTG4V-5-2B70N-Z-M2-PE7-H7-12</t>
  </si>
  <si>
    <t>KBFDG4V-3-2C07N-Z-M1-PE7-H7-12</t>
  </si>
  <si>
    <t>KBFDG4V-3-2C13N-Z-M1-PE7-H7-12</t>
  </si>
  <si>
    <t>KBFDG4V-3-2C03F-Z-M2-PE7-H7-12</t>
  </si>
  <si>
    <t>KBFDG4V-3-33C20N-Z-M1-PE7-H7-12</t>
  </si>
  <si>
    <t>KBFDG4V-3-2C20N-Z-M1-PH7-H7-12</t>
  </si>
  <si>
    <t>KBFDG4V-3-33C20N-Z-M1-PH7-H7-12</t>
  </si>
  <si>
    <t>KBFDG4V-3-2C13N-Z-M1-PC7-H7-12</t>
  </si>
  <si>
    <t>KBFDG4V-3-33C03F-Z-M1-PE7-H7-12</t>
  </si>
  <si>
    <t>KBFDG4V-3-33C20N10-Z-M2-PE7-H7-12</t>
  </si>
  <si>
    <t>KBFDG4V-3-2C28S-Z-M1-PE7-H6-12</t>
  </si>
  <si>
    <t>KBFDG4V-3-33C20N-Z-M2-PE7-H7-12</t>
  </si>
  <si>
    <t>KBFDG4V-3-33C20N-Z-M2-PH7-H7-12</t>
  </si>
  <si>
    <t>KBFDG4V-3-33C13N-Z-M1-PE7-H7-12</t>
  </si>
  <si>
    <t>KBFDG4V-3-5C30N-Z-M1-PR7-H7-12</t>
  </si>
  <si>
    <t>KBFDG4V-3-33C07N-Z-M2-PE7-H7-12</t>
  </si>
  <si>
    <t>KBFDG4V-3-2C03F-Z-M1-PE7-H7-12</t>
  </si>
  <si>
    <t>KBFDG4V-3-33C07N-Z-M1-PC7-H7-12</t>
  </si>
  <si>
    <t>KBFDG4V-3-2C13N-Z-M2-PE7-H7-12</t>
  </si>
  <si>
    <t>KBFDG4V-3-2C07N-Z-M2-PE7-H7-12</t>
  </si>
  <si>
    <t>KBFDG4V-3-2C30N-Z-M1-PE7-H7-12</t>
  </si>
  <si>
    <t>KBFDG4V-3-2C20N-Z-M2-PC7-H7-12</t>
  </si>
  <si>
    <t>KBFDG4V-3-5C30N-Z-M1-PH7-H7-12</t>
  </si>
  <si>
    <t>KBFDG4V-3-33C20N-Z-M2-PC7-H7-12</t>
  </si>
  <si>
    <t>KBFDG4V-3-33C07N-Z-M1-PE7-H7-12</t>
  </si>
  <si>
    <t>KBFDG4V-3-33C03F-Z-M2-PH7-H7-12</t>
  </si>
  <si>
    <t>KBFDG4V-3-33C13N-Z-M1-PH7-H7-12</t>
  </si>
  <si>
    <t>KBFDG4V-3-33C20N10-Z-M2-PC7-H7-12</t>
  </si>
  <si>
    <t>KBFDG4V-3-2C20N10-Z-M1-PC7-H7-12</t>
  </si>
  <si>
    <t>KBFDG4V-3-2C20N-Z-M2-PH7-H7-12</t>
  </si>
  <si>
    <t>KBFDG4V-3-2C13N-Z-M1-PH7-H7-12</t>
  </si>
  <si>
    <t>KBFDG4V-3-2C03F-Z-M2-PH7-H7-12</t>
  </si>
  <si>
    <t>KBFDG4V-3-2C03F-Z-M2-PC7-H7-12</t>
  </si>
  <si>
    <t>KBFDG4V-3-2C30N-Z-M1-PH7-H7-12</t>
  </si>
  <si>
    <t>KBFDG4V-3-5C30N-Z-M2-PE7-H7-12</t>
  </si>
  <si>
    <t>KBFDG4V-3-2C20N10-Z-M1-PE7-H7-12</t>
  </si>
  <si>
    <t>KBFDG4V-3-33C20N-Z-M1-PC7-H7-12</t>
  </si>
  <si>
    <t>KBFDG4V-3-5C30N-Z-M1-PE7-H7-12</t>
  </si>
  <si>
    <t>KBFDG4V-3-2C30N-Z-M1-PC7-H7-12</t>
  </si>
  <si>
    <t>KBFDG4V-3-33C13N-Z-M1-PR7-H7-12</t>
  </si>
  <si>
    <t>KBFDG4V-3-2C28S-Z-M1-PH7-H6-12</t>
  </si>
  <si>
    <t>KBFDG4V-3-2C30N-Z-M2-PC7-H7-12</t>
  </si>
  <si>
    <t>KBFDG4V-3-2C28S-Z-M1-PC7-H6-12</t>
  </si>
  <si>
    <t>KBFDG4V-3-2C07N-Z-M1-PC7-H7-12</t>
  </si>
  <si>
    <t>KBFDG4V-3-5C20N-Z-M2-PE7-H7-12</t>
  </si>
  <si>
    <t>KBFTG4V-3-2B13N-Z-M1-PE7-H7-12</t>
  </si>
  <si>
    <t>KBFTG4V-3-2B13N-Z-M1-PC7-H7-12</t>
  </si>
  <si>
    <t>KBFTG4V-3-2B07N-Z-M1-PC7-H7-12</t>
  </si>
  <si>
    <t>KBFTG4V-3-2B20N-Z-M1-PE7-H7-12</t>
  </si>
  <si>
    <t>KBFTG4V-3-2B13N-Z-M2-PE7-H7-12</t>
  </si>
  <si>
    <t>KBFTG4V-3-2B20N-Z-M1-PC7-H7-12-EN090</t>
  </si>
  <si>
    <t>KBFTG4V-5-2B50N-Z-M1-PE7-H7-12</t>
  </si>
  <si>
    <t>KBFTG4V-3-2B20N-Z-M1-PC7-H7-12</t>
  </si>
  <si>
    <t>KBFTG4V-5-2B50N-Z-M1-PC7-H7-12</t>
  </si>
  <si>
    <t>KBFTG4V-5-2B30N-Z-M2-PE7-H7-12</t>
  </si>
  <si>
    <t>KBFTG4V-5-2B50N-Z-M1-PH7-H7-12</t>
  </si>
  <si>
    <t>KBFTG4V-5-2B50N-Z-M2-PE7-H7-12</t>
  </si>
  <si>
    <t>KBFTG4V-3-2B07N-Z-M1-PE7-H7-12</t>
  </si>
  <si>
    <t>KBFTG4V-3-2B20N-Z-M2-PE7-H7-12</t>
  </si>
  <si>
    <t>KBFDG4V-3-2C13N-Z-M3-PE7-H7-12</t>
  </si>
  <si>
    <t>KBFTG4V-3-2B07N-Z-M2-PH7-H7-12</t>
  </si>
  <si>
    <t>KBFTG4V-5-2B30N-Z-M1-PE7-H7-12</t>
  </si>
  <si>
    <t>KBFTG4V-3-2B03F-Z-M1-PE7-H7-12</t>
  </si>
  <si>
    <t>KBFTG4V-5-2B70N-Z-M1-PH7-H7-12</t>
  </si>
  <si>
    <t>KBFDG4V-5-33C50N25-Z-M2-PE7-H7-12</t>
  </si>
  <si>
    <t>KBFDG4V-5-2C70N-Z-M5-PE7-H7-12</t>
  </si>
  <si>
    <t>KBFDG4V-3-2C20N10-Z-M2-PC7-H7-12</t>
  </si>
  <si>
    <t>KBFDG4V-3-2C20N-Z-M2-PE7-H7-12</t>
  </si>
  <si>
    <t>KBFDG4V-3-33C27N-Z-M1-PH7-H7-12</t>
  </si>
  <si>
    <t>KBFDG4V-3-33C13N-Z-M2-PC7-H7-12</t>
  </si>
  <si>
    <t>KBFDG4V-3-2C03F-Z-M1-PH7-H7-12</t>
  </si>
  <si>
    <t>KBFDG4V-3-2C28S-Z-M2-PE7-H6-12</t>
  </si>
  <si>
    <t>KBFDG4V-5-9C50N-Z-M1-PH7-H7-12</t>
  </si>
  <si>
    <t>KBFTG4V-5-2B70N-Z-M2-PH7-H7-12</t>
  </si>
  <si>
    <t>KBFTG4V-3-2B03F-Z-M2-PE7-H7-12</t>
  </si>
  <si>
    <t>KBFDG4V-5-33C50N-Z-M2-PH7-H7-12</t>
  </si>
  <si>
    <t>KBFDG4V-5-33C70N-Z-M2-PH7-H7-12</t>
  </si>
  <si>
    <t>KBFDG4V-5-33C30N-Z-M2-PH7-H7-12</t>
  </si>
  <si>
    <t>KBFDG4V-3-2C20N10-Z-M2-PE7-H7-12</t>
  </si>
  <si>
    <t>KBFDG4V-3-5C07N-Z-M1-PC7-H7-12</t>
  </si>
  <si>
    <t>KBFDG4V-3-5C07N-Z-M2-PC7-H7-12</t>
  </si>
  <si>
    <t>KDG4V-5-2C50N-Z-VM-U-H7-30</t>
  </si>
  <si>
    <t>KDG4V-5-33C30N-Z-M-U-HA7-30</t>
  </si>
  <si>
    <t>KDG4V-5-33C50N-Z-M-U-HA7-30</t>
  </si>
  <si>
    <t>KBSDG4V-3-92L-05N-M1-PE7-H7-12</t>
  </si>
  <si>
    <t>KBSDG4V-3-92L-40N-M1-PE7-H7-12</t>
  </si>
  <si>
    <t>KBSDG4V-3-92L-40N-M1-PH7-H7-12</t>
  </si>
  <si>
    <t>KBSDG4V-3-92L-12N-M1-PE7-H7-12</t>
  </si>
  <si>
    <t>KBSDG4V-3-92L-24N-M1-PE7-H7-12</t>
  </si>
  <si>
    <t>KBSDG4V-3-92L-40N-M2-PE7-H7-12</t>
  </si>
  <si>
    <t>KBSDG4V-3-92L-24N-M1-PH7-H7-12</t>
  </si>
  <si>
    <t>KBSDG4V-3-96L-40N-M1-PH7-H7-12</t>
  </si>
  <si>
    <t>KBSDG4V-3-92L-40N-M1-PC7-H7-12</t>
  </si>
  <si>
    <t>KBSDG4V-3-96L-12N-M1-PE7-H7-12</t>
  </si>
  <si>
    <t>KBSDG4V-3-92L-24N-M1-PC7-H7-12</t>
  </si>
  <si>
    <t>KBSDG4V-3-92L-12N-M1-PH7-H7-12</t>
  </si>
  <si>
    <t>KBSDG4V-3-96L-24N-M1-PE7-H7-12</t>
  </si>
  <si>
    <t>KBSDG4V-3-92L-05N-M1-PH7-H7-12</t>
  </si>
  <si>
    <t>KBSDG4V-3-96L-40N-M1-PE7-H7-12</t>
  </si>
  <si>
    <t>KBSDG4V-3-92L-12N-M2-PH7-H7-12</t>
  </si>
  <si>
    <t>KBSDG4V-3-96L-05N-M1-PE7-H7-12</t>
  </si>
  <si>
    <t>KBSDG4V-3-92L-05N-M1-PC7-H7-12</t>
  </si>
  <si>
    <t>KBSDG4V-3-96L-40N-M2-PH7-H7-12</t>
  </si>
  <si>
    <t>KBSDG4V-3-96L-40N-M1-PR7-H7-12</t>
  </si>
  <si>
    <t>KBSDG4V-3-92L-12N-M2-PE7-H7-12</t>
  </si>
  <si>
    <t>KBSDG4V-3-92L-24N-M2-PE7-H7-12</t>
  </si>
  <si>
    <t>KBSDG4V-3-92L-12N-M1-PC7-H7-12</t>
  </si>
  <si>
    <t>KBSDG4V-3-92L-24N-M2-PC7-H7-12</t>
  </si>
  <si>
    <t>KBSDG4V-3-96L-05N-M1-PH7-H7-12</t>
  </si>
  <si>
    <t>KBSDG4V-3-96L-24N-M2-PE7-H7-12</t>
  </si>
  <si>
    <t>KBSDG4V-3-96L-40N-M2-PE7-H7-12</t>
  </si>
  <si>
    <t>KBHDG5V-8-2C375N-X-M1-PE7-H4-12</t>
  </si>
  <si>
    <t>KBHDG5V-7-5C200N-EX-M1-PH7-H4-12</t>
  </si>
  <si>
    <t>KBHDG5V-5-2C95N-X-M1-PE7-H4-12</t>
  </si>
  <si>
    <t>KBHDG5V-7-2C200N-EX-M1-PE7-H4-12</t>
  </si>
  <si>
    <t>KBHDG5V-7-2C200N-EX-M1-PH7-H4-12</t>
  </si>
  <si>
    <t>KBHDG5V-7-33C160N-X-M1-PE7-H4-12</t>
  </si>
  <si>
    <t>KBHDG5V-7-5C200N-X-T-M1-PE7-H4-12</t>
  </si>
  <si>
    <t>KBHDG5V-7-2C200N-X-M1-PE7-H4-12</t>
  </si>
  <si>
    <t>KBHDG5V-7-33C160N-EX-M1-PE7-H4-12</t>
  </si>
  <si>
    <t>KBHDG5V-7-5C200N115-E-M1-PH7-H4-12</t>
  </si>
  <si>
    <t>KBHDG5V-8-33C375N-X-T-M1-PE7-H4-12</t>
  </si>
  <si>
    <t>KBHDG5V-8-5C375N-EX-M1-PC7-H4-12</t>
  </si>
  <si>
    <t>KBHDG5V-5-5C85N-E-T-M1-PE7-H4-12</t>
  </si>
  <si>
    <t>KBHDG5V-7-2C150N85-EX-M1-PE7-H4-12</t>
  </si>
  <si>
    <t>KBHDG5V-5-33C80N-X-M2-PE7-H4-12</t>
  </si>
  <si>
    <t>KBHDG5V-8-33C375N250-X-M1-PE7-H4-12</t>
  </si>
  <si>
    <t>KBHDG5V-8-2C375N-EX-M1-PE7-H4-12</t>
  </si>
  <si>
    <t>KBHDG5V-8-5C375N-X-M1-PH7-H4-12</t>
  </si>
  <si>
    <t>KBHDG5V-8-5C375N-E-M1-PE7-H4-12</t>
  </si>
  <si>
    <t>KBHDG5V-5-5C85N-X-M1-PE7-H4-12</t>
  </si>
  <si>
    <t>KBHDG5V-7-2C200N-X-T-M1-PH7-H4-12</t>
  </si>
  <si>
    <t>KBHDG5V-5-33C80N-X-M1-PH7-H4-12</t>
  </si>
  <si>
    <t>KBHDG5V-8-2C375N250-X-M1-PE7-H4-12</t>
  </si>
  <si>
    <t>KBHDG5V-7-2C200N-T-M1-PE7-H4-12</t>
  </si>
  <si>
    <t>KBHDG5V-8-5C375N-T-M1-PE7-H4-12</t>
  </si>
  <si>
    <t>KBHDG5V-8-33C375N-M1-PC7-H4-12</t>
  </si>
  <si>
    <t>KBHDG5V-8-33C375N-EX-M1-PE7-H4-12</t>
  </si>
  <si>
    <t>KBHDG5V-5-2C95N-E-M1-PE7-H4-12</t>
  </si>
  <si>
    <t>KBHDG5V-7-2C150N85-EX-M2-PE7-H4-12</t>
  </si>
  <si>
    <t>KBHDG5V-8-2C375N250-EX-M1-PE7-H4-12</t>
  </si>
  <si>
    <t>KBHDG5V-7-5C200N-T-M1-PE7-H4-12</t>
  </si>
  <si>
    <t>KBHDG5V-8-33C375N250-X-M1-PH7-H4-12</t>
  </si>
  <si>
    <t>KBHDG5V-7-2C200N-X-T-M4-PE7-H4-12</t>
  </si>
  <si>
    <t>KBHDG5V-7-33C160N-E-M1-PC7-H4-12</t>
  </si>
  <si>
    <t>KBHDG5V-7-5C200N-E-M1-PE7-H4-12</t>
  </si>
  <si>
    <t>KBHDG5V-8-33C375N-M1-PE7-H4-12</t>
  </si>
  <si>
    <t>KBHDG5V-7-33C160N-X-M1-PC7-H4-12</t>
  </si>
  <si>
    <t>KBHDG5V-7-33C160N-X-T-M2-PE7-H4-12</t>
  </si>
  <si>
    <t>KBHDG5V-8-2C375N-EX-M1-PC7-H4-12</t>
  </si>
  <si>
    <t>KBHDG5V-7-2C200N-EX-M1-PC7-H4-12</t>
  </si>
  <si>
    <t>KBHDG5V-7-33C160N-X-T-M1-PE7-H4-12</t>
  </si>
  <si>
    <t>KBHDG5V-7-33C130N65-X-M1-PH7-H4-12</t>
  </si>
  <si>
    <t>KBHDG5V-5-33C60N40-EX-M1-PE7-H4-12</t>
  </si>
  <si>
    <t>KBHDG5V-7-2C200N-X-M1-PH7-H4-12</t>
  </si>
  <si>
    <t>KBHDG5V-5-2C95N-X-T-M4-PE7-H4-12</t>
  </si>
  <si>
    <t>KBHDG5V-7-5C200N-EX-T-M2-PE7-H4-12</t>
  </si>
  <si>
    <t>KBHDG5V-7-33C160N-X-T-M1-PH7-H4-12</t>
  </si>
  <si>
    <t>KBHDG5V-7-33C130N65-X-M1-PC7-H4-12</t>
  </si>
  <si>
    <t>KBHDG5V-7-2C200N-X-M1-PC7-H4-12</t>
  </si>
  <si>
    <t>KBHDG5V-7-133C150N80N-EX-M1-PE7-H4-12</t>
  </si>
  <si>
    <t>KBHDG5V-5-5C85N-M1-PE7-H4-12</t>
  </si>
  <si>
    <t>KBHDG5V-5-5C85N-E-M1-PE7-H4-12</t>
  </si>
  <si>
    <t>KBHDG5V-5-5C85N-X-T-M1-PE7-H4-12</t>
  </si>
  <si>
    <t>KBHDG5V-5-5C85N-T-M2-PE7-H4-12</t>
  </si>
  <si>
    <t>KBHDG5V-5-5C85N-EX-M1-PE7-H4-12</t>
  </si>
  <si>
    <t>KBHDG5V-7-33C160N-E-M1-PE7-H4-12</t>
  </si>
  <si>
    <t>KBHDG5V-5-2C95N-X-T-M1-PE7-H4-12</t>
  </si>
  <si>
    <t>KBHDG5V-5-33C80N-EX-M1-PE7-H4-12</t>
  </si>
  <si>
    <t>KBHDG5V-7-2C200N-E-M1-PE7-H4-12</t>
  </si>
  <si>
    <t>KBHDG5V-7-PQ190F-E-M1-PE7-H4-12</t>
  </si>
  <si>
    <t>KBHDG5V-7-5C200N-X-M1-PE7-H4-12</t>
  </si>
  <si>
    <t>KBHDG5V-7-5C200N-EX-M1-PE7-H4-12</t>
  </si>
  <si>
    <t>KBHDG5V-8-2C375N-EX-M1-PH7-H4-12</t>
  </si>
  <si>
    <t>KBHDG5V-5-2C95N-X-T-M1-PH7-H4-12</t>
  </si>
  <si>
    <t>KBHDG5V-8-33C375N250-X-M1-PC7-H4-12</t>
  </si>
  <si>
    <t>KBHDG5V-7-5C200N115-M1-PE7-H4-12</t>
  </si>
  <si>
    <t>KBHDG5V-8-33C375N-X-M1-PE7-H4-12</t>
  </si>
  <si>
    <t>KBHDG5V-7-5C200N115-X-M1-PE7-H4-12</t>
  </si>
  <si>
    <t>KBHDG5V-5-5C90N55-X-M1-PE7-H4-12</t>
  </si>
  <si>
    <t>KBHDG5V-8-33C375N250-EX-M1-PE7-H4-12</t>
  </si>
  <si>
    <t>KBHDG5V-5-2C70N45-EX-M1-PE7-H4-12</t>
  </si>
  <si>
    <t>KBHDG5V-7-33C130N65-EX-M1-PH7-H4-12</t>
  </si>
  <si>
    <t>KBHDG5V-7-33C130N65-E-M1-PE7-H4-12</t>
  </si>
  <si>
    <t>KBHDG5V-7-33C130N65-E-T-M2-PE7-H4-12</t>
  </si>
  <si>
    <t>KBHDG5V-8-33C375N250-X-M2-PE7-H4-12</t>
  </si>
  <si>
    <t>KBHDG5V-8-33C375N-X-M2-PE7-H4-12</t>
  </si>
  <si>
    <t>KBHDG5V-8-2C375N-X-T-M1-PE7-H4-12</t>
  </si>
  <si>
    <t>KBHDG5V-7-33C160N-X-M1-PH7-H4-12</t>
  </si>
  <si>
    <t>KBHDG5V-7-33C130N65-X-M2-PE7-H4-12</t>
  </si>
  <si>
    <t>KBHDG5V-7-33C160N-X-M2-PE7-H4-12</t>
  </si>
  <si>
    <t>KBHDG5V-5-33C60N40-EX-M2-PE7-H4-12</t>
  </si>
  <si>
    <t>KBHDG5V-7-33C160N-EX-M2-PE7-H4-12</t>
  </si>
  <si>
    <t>KBHDG5V-5-2C95N-T-M1-PH7-H4-12</t>
  </si>
  <si>
    <t>KBHDG5V-8-2C375N-T-M1-PC7-H4-12</t>
  </si>
  <si>
    <t>KBHDG5V-5-2C95N-T-M1-PE7-H4-12</t>
  </si>
  <si>
    <t>KBHDG5V-8-2C375N250-EX-M2-PE7-H4-12</t>
  </si>
  <si>
    <t>KBHDG5V-5-33C60N40-T-M2-PE7-H4-12</t>
  </si>
  <si>
    <t>KBHDG5V-5-33C80N-X-M2-PH7-H4-12</t>
  </si>
  <si>
    <t>KBHDG5V-5-33C80N-X-T-M1-PE7-H4-12</t>
  </si>
  <si>
    <t>KDG4V-5-2C65S-Z-VM-U-H6-30</t>
  </si>
  <si>
    <t>KDG4V-5-33C50N-Z-VM-U-H7-30</t>
  </si>
  <si>
    <t>KFDG5V-7-2C200N-X-VM-U1-H1-12</t>
  </si>
  <si>
    <t>KFTG4V-3-2B03F-Z-M-U1-H7-20</t>
  </si>
  <si>
    <t>KHDG5V-5-2C100N-X-VM-U1-H1-20</t>
  </si>
  <si>
    <t>KHDG5V-5-33C80N-X-VM-U1-H1-20</t>
  </si>
  <si>
    <t>KHDG5V-7-2C200N-EX-VM-U1-H1-20</t>
  </si>
  <si>
    <t>KHDG5V-7-2C200N-X-VM-U1-H1-20</t>
  </si>
  <si>
    <t>KHDG5V-7-33C160N-EX-VM-U1-H1-20</t>
  </si>
  <si>
    <t>KHDG5V-7-33C160N-X-VM-U1-H1-20</t>
  </si>
  <si>
    <t>KHDG5V-5-2C100N-EX-VM-U1-H1-20</t>
  </si>
  <si>
    <t>KFDG4V-3-33C20N10-Z-M-U1-H7-20</t>
  </si>
  <si>
    <t>DG4V-3-7A-M-U-H7-60</t>
  </si>
  <si>
    <t>DG4V-3-2N-M-U-H7-60-EN38</t>
  </si>
  <si>
    <t>DG4V-3-0AL-M-U-B6-60</t>
  </si>
  <si>
    <t>DG4V-3-6BL-H-M-U-H7-60</t>
  </si>
  <si>
    <t>DG4V-3-7B-M-U-C6-60</t>
  </si>
  <si>
    <t>DG4V-3-22A-M-U-B6-60</t>
  </si>
  <si>
    <t>DG4V-3-24AL-M-U-H7-60</t>
  </si>
  <si>
    <t>DG4V-3-521C-M-U-H7-60</t>
  </si>
  <si>
    <t>DG4V-3-22A-H-M-U-G7-60</t>
  </si>
  <si>
    <t>DG4V-3-31B-M-U-H7-60</t>
  </si>
  <si>
    <t>DG4V-3-2N-H-M-U-D6-60</t>
  </si>
  <si>
    <t>DG4V-3-7C-M-U-G7-60</t>
  </si>
  <si>
    <t>DG4V-3-0C-H-M-U-B6-60</t>
  </si>
  <si>
    <t>DG4V-3-0A-M-U-NN6-60</t>
  </si>
  <si>
    <t>DG4V-3-22C-M-U-C6-60</t>
  </si>
  <si>
    <t>DG4V-3-0B-VM-U-B6-60</t>
  </si>
  <si>
    <t>DG4V-3-2N-VM-U-B6-60</t>
  </si>
  <si>
    <t>DG4V-3-7B-M-U-B6-60</t>
  </si>
  <si>
    <t>DG4V-3-0C-M-U-OJ7-60</t>
  </si>
  <si>
    <t>DG4V-3-6C-VM-U-KK6-60</t>
  </si>
  <si>
    <t>DG4V-3-23A-Z-VM-U-H7-60</t>
  </si>
  <si>
    <t>DG4V-3-0BL-H-M-U-H7-60</t>
  </si>
  <si>
    <t>DG4V-3-31C-M-U-A6-60</t>
  </si>
  <si>
    <t>DG4V-3-52C-VM-U-H7-60</t>
  </si>
  <si>
    <t>DG4V-3-0C-H-M-U-A6-60</t>
  </si>
  <si>
    <t>DG4V-3-7C-M-U-D6-60</t>
  </si>
  <si>
    <t>DG4V-3-6BL-M-U-G7-60</t>
  </si>
  <si>
    <t>DG4V-3-0C-M-U-EJ7-60</t>
  </si>
  <si>
    <t>DG4V-3-35AL-VM-U-H7-60</t>
  </si>
  <si>
    <t>DG4V-3-2BL-VM-U-H7-60</t>
  </si>
  <si>
    <t>DG4V-3-6C-H-M-U-C6-60</t>
  </si>
  <si>
    <t>DG4V-3-56C-M-U-G7-60</t>
  </si>
  <si>
    <t>DG4V-3-0C-H-M-U-C6-60</t>
  </si>
  <si>
    <t>DG4V-3-2A-M-U-H7-60-EN38</t>
  </si>
  <si>
    <t>DG4V-3-7C-M-U-HL7-60</t>
  </si>
  <si>
    <t>DG4V-3-6C-M-U-HL7-60</t>
  </si>
  <si>
    <t>DG4V-3-2AL-M-U-HL7-60</t>
  </si>
  <si>
    <t>DG4V-3-2C-Z-M-U-P7-60</t>
  </si>
  <si>
    <t>DG4V-3-7B-M-U-A6-60</t>
  </si>
  <si>
    <t>DG4V-3-52B-M-U-H7-60</t>
  </si>
  <si>
    <t>DG4V-3-22A-M-U-P7-60</t>
  </si>
  <si>
    <t>DG4V-3-2C-H-M-U-B6-60</t>
  </si>
  <si>
    <t>DG4V-3-6C-H-VM-U-B6-60</t>
  </si>
  <si>
    <t>DG4V-3-2N-H-M-U-P7-60</t>
  </si>
  <si>
    <t>DG4V-3-2A-H-M-U-P7-60</t>
  </si>
  <si>
    <t>DG4V-3-6C-H-M-U-P7-60</t>
  </si>
  <si>
    <t>DG4V-3-32A-M-U-A6-60</t>
  </si>
  <si>
    <t>DG4V-3-0A-M-U-D6-60</t>
  </si>
  <si>
    <t>DG4V-3-6B-M-U-D6-60</t>
  </si>
  <si>
    <t>DG4V-3-6C-M-U-GL7-60</t>
  </si>
  <si>
    <t>DG4V-3-2N-M-U-HL7-60</t>
  </si>
  <si>
    <t>DG4V-3-2C-M-U-HL7-60</t>
  </si>
  <si>
    <t>DG4V-3-31B-M-U-B6-60</t>
  </si>
  <si>
    <t>DG4V-3-2N-Z-M-U-H7-60</t>
  </si>
  <si>
    <t>DG4V-3-6AL-M-U-H7-60</t>
  </si>
  <si>
    <t>DG4V-3-6A-M-U-H7-60</t>
  </si>
  <si>
    <t>DG4V-3-32A-M-U-C6-60</t>
  </si>
  <si>
    <t>DG4V-3-2N-H-M-U-H7-60</t>
  </si>
  <si>
    <t>DG4V-3-3B-M-U-H7-60</t>
  </si>
  <si>
    <t>DG4V-3-3C-H-M-U-H7-60</t>
  </si>
  <si>
    <t>DG4V-3-2N-H-VM-U-H7-60</t>
  </si>
  <si>
    <t>DG4V-3-8C-VM-U-B6-61</t>
  </si>
  <si>
    <t>DG4V-3-8C-H-VM-U-G7-61</t>
  </si>
  <si>
    <t>DG4V-3-8C-VM-U-D6-61</t>
  </si>
  <si>
    <t>DG4V-3-8C-VM-U-G7-61</t>
  </si>
  <si>
    <t>DG4V-3-8C-VM-U-HL7-61</t>
  </si>
  <si>
    <t>DG4V-3-8C-VM-U-A6-61</t>
  </si>
  <si>
    <t>DG4V-3-8C-VM-U-H7-61</t>
  </si>
  <si>
    <t>DG4V-3-11C-M-U-H7-60</t>
  </si>
  <si>
    <t>DG4V-3-22AL-M-U-C6-60</t>
  </si>
  <si>
    <t>DG4V-3-2BL-M-U-NN6-60</t>
  </si>
  <si>
    <t>DG4V-3-6C-H-M-U-B6-60</t>
  </si>
  <si>
    <t>DG4V-3-31C-M-U-B6-60</t>
  </si>
  <si>
    <t>DG4V-3-0B-M-U-HL7-60</t>
  </si>
  <si>
    <t>DG4V-3-2A-M-U-D6-60-EN38</t>
  </si>
  <si>
    <t>DG4V-3-2N-M-U-D6-60-EN38</t>
  </si>
  <si>
    <t>DG4V-3-6C-M-U-H7-60-P08</t>
  </si>
  <si>
    <t>DG4V-3-6B-H-M-U-H7-60</t>
  </si>
  <si>
    <t>DG4V-3-7BL-M-U-HL7-60</t>
  </si>
  <si>
    <t>DG4V-3-24AL-M-U-HL7-60</t>
  </si>
  <si>
    <t>DG4V-3-0AL-M-U-D6-60</t>
  </si>
  <si>
    <t>DG4V-3-22A-M-U-D6-60</t>
  </si>
  <si>
    <t>DG4V-3-22AL-M-U-A6-60</t>
  </si>
  <si>
    <t>DG4V-3-6C-M-U-H7-60-EN38</t>
  </si>
  <si>
    <t>DG4V-3-22B-M-U-H7-60</t>
  </si>
  <si>
    <t>DG4V-3-2A-M-U-DN6-60</t>
  </si>
  <si>
    <t>DG4V-3-2C-M-U-DN6-60</t>
  </si>
  <si>
    <t>DG4V-3-8C-VM-U-NN6-61</t>
  </si>
  <si>
    <t>DG4V-3-8B-VM-U-G7-61</t>
  </si>
  <si>
    <t>DG4V-3-22C-M-U-B6-60</t>
  </si>
  <si>
    <t>DG4V-3-22A-H-M-U-H7-60</t>
  </si>
  <si>
    <t>DG4V-3-6A-M-U-B6-60</t>
  </si>
  <si>
    <t>DG4V-3-2C-Z-M-U-SA7-60</t>
  </si>
  <si>
    <t>DG4V-3-521B-M-U-ED6-60</t>
  </si>
  <si>
    <t>DG4V-3-6C-M-U-EK6-60-EN38</t>
  </si>
  <si>
    <t>DG4V-3-6C-M-U-SA7-60</t>
  </si>
  <si>
    <t>DG4V-3-0C-M-U-HL7-60</t>
  </si>
  <si>
    <t>DG4V-3-27AL-M-U-C6-60</t>
  </si>
  <si>
    <t>DG4V-3-6C-H-M-U-SA7-60</t>
  </si>
  <si>
    <t>DG4V-3-2N-H-M-U-SA7-60</t>
  </si>
  <si>
    <t>DG4V-3-2C-M-U-SA7-60</t>
  </si>
  <si>
    <t>DG4V-3-2N-M-U-SA7-60</t>
  </si>
  <si>
    <t>DG4V-3-2AL-M-U-SA7-60</t>
  </si>
  <si>
    <t>DG4V-2-2A-M-U-G6-10</t>
  </si>
  <si>
    <t>DG4V-3-56BL-M-U-H7-60</t>
  </si>
  <si>
    <t>DG4V-3-6C-M-U-DP7-60</t>
  </si>
  <si>
    <t>DG4V-3-6C-M-U-H7-60-P10</t>
  </si>
  <si>
    <t>DG4V-3-2A-M-U-SA7-60</t>
  </si>
  <si>
    <t>DG4V-3-20C-M-U-H7-60</t>
  </si>
  <si>
    <t>DG4V-3-8B-VM-U-H7-61</t>
  </si>
  <si>
    <t>DG4V-3-8C-VM-U-C6-61</t>
  </si>
  <si>
    <t>DG4V-3-8C-H-VM-U-H7-61</t>
  </si>
  <si>
    <t>DG4V-3-0B207-M-U-HH7-60</t>
  </si>
  <si>
    <t>DG4V-3-2A-VM-U-D6-60</t>
  </si>
  <si>
    <t>DG4V-3-2AL-VM-U-D6-60</t>
  </si>
  <si>
    <t>DG4V-3-22A-H-M-U-P7-60</t>
  </si>
  <si>
    <t>DG4V-3-7C-H-M-U-P7-60</t>
  </si>
  <si>
    <t>DG4V-3-2AL-H-M-U-P7-60</t>
  </si>
  <si>
    <t>DG4V-3-2C-Z-M-U-H7-60</t>
  </si>
  <si>
    <t>DG4V-3-2AL-H-M-U-C6-60</t>
  </si>
  <si>
    <t>DG4V-3-0A-Z-M-U-H7-60</t>
  </si>
  <si>
    <t>DG4V-3-2A-M-U-EK6-60</t>
  </si>
  <si>
    <t>DG4V-3-6C-VM-U-EJ7-60</t>
  </si>
  <si>
    <t>DG4V-3-8C-VM-U-ED6-61</t>
  </si>
  <si>
    <t>DG4V-3-8BL-VM-U-H7-61</t>
  </si>
  <si>
    <t>DG4V-3-8C-VM-U-EJ7-61</t>
  </si>
  <si>
    <t>DG4V-3-8C-VM-U-EK6-61</t>
  </si>
  <si>
    <t>DG4V-3-8C-VM-KUP6-G7-61</t>
  </si>
  <si>
    <t>DG4V-3-6C-H-M-U-D6-60-P08</t>
  </si>
  <si>
    <t>DG4V-3-2N-H-M-U-D6-60-P08</t>
  </si>
  <si>
    <t>DG4V-3-8BL-H-VM-U-H7-61</t>
  </si>
  <si>
    <t>DG4V-3-2A-VM-U-EK6-60</t>
  </si>
  <si>
    <t>DG4V-3-0C-M-KUP1-G7-60</t>
  </si>
  <si>
    <t>DG4V-3-22C-M-KUP1-G7-60</t>
  </si>
  <si>
    <t>DG4V-3-52C-M-KUP1-G7-60</t>
  </si>
  <si>
    <t>DG4V-3-8BL-VM-U-G7-61</t>
  </si>
  <si>
    <t>DG4V-3-11C-Z-M-U-H7-60</t>
  </si>
  <si>
    <t>DG4V-3-6C-M-U-H7-60-P15</t>
  </si>
  <si>
    <t>DG4V-3-2A-VM-U-G7-60</t>
  </si>
  <si>
    <t>DG4V-3-6B-H-M-U-G7-60</t>
  </si>
  <si>
    <t>DG4V-3-0A-M-U-SA7-60</t>
  </si>
  <si>
    <t>DG4V-3-521C-H-M-U-H7-60</t>
  </si>
  <si>
    <t>DG4V-3-0C-VM-U-G7-60</t>
  </si>
  <si>
    <t>DG4V-3-6C-H-M-U1-B6-60-EN38</t>
  </si>
  <si>
    <t>DG4V-3-2C-M-U-H7-60-EN38</t>
  </si>
  <si>
    <t>DG4V-3-39A-M-U-H7-60</t>
  </si>
  <si>
    <t>DG4V-3-23A-M-U-H7-60-EN38</t>
  </si>
  <si>
    <t>DG4V-3-6C-M-U-H7-60-P13</t>
  </si>
  <si>
    <t xml:space="preserve">DG21V 3 2A 2 60  </t>
  </si>
  <si>
    <t>DG4V-3-6A-M-U-A6-60</t>
  </si>
  <si>
    <t>DG4V-3-22B-M-U-B6-60</t>
  </si>
  <si>
    <t>DG4V-3-6C-M-U-D6-60-EN38</t>
  </si>
  <si>
    <t>DG4V-3-0B-VM-U-EK6-60</t>
  </si>
  <si>
    <t>DG4V-3-0B-H-M-U-B6-60</t>
  </si>
  <si>
    <t>DG4V-3-0A-M-U-HL7-60</t>
  </si>
  <si>
    <t>DG4V-3-2AL-M-U-H7-60-EN38</t>
  </si>
  <si>
    <t>DG4V-3-2A-M-KU-D1-H7-60</t>
  </si>
  <si>
    <t>DG4V-3-0C-M-KU-G7-60</t>
  </si>
  <si>
    <t>DG4V-3-8C209-VM-U-HH7-60</t>
  </si>
  <si>
    <t>DG4V-3-6C207-M-U-HH7-60</t>
  </si>
  <si>
    <t>DG4V-3-2C207-M-U-HH7-60</t>
  </si>
  <si>
    <t>DG4V-3-2A207-M-U-HH7-60</t>
  </si>
  <si>
    <t>DG4V-3-23AL-M-U-H7-60</t>
  </si>
  <si>
    <t>DG4V-3-48N-VM-U-H7-60</t>
  </si>
  <si>
    <t>DG4V-3-8B-H-VM-U-C6-61</t>
  </si>
  <si>
    <t>DG4V-3-2A-M-U-H7-60-P16</t>
  </si>
  <si>
    <t>DG4V-3-1BL-M-U-H7-60</t>
  </si>
  <si>
    <t>DG4V-3-22AL-M-U-G7-60</t>
  </si>
  <si>
    <t>DG4V-3-2AL-H-M-U-D6-60-EN38</t>
  </si>
  <si>
    <t>DG4V-3-6C-H-M-U-D6-60-EN38</t>
  </si>
  <si>
    <t>DG4V-3-37A-VM-U-H7-60</t>
  </si>
  <si>
    <t>DG4V-3R-0B-M-U-HM7-60</t>
  </si>
  <si>
    <t>DG4V-3-2AL-M-KUP4-D3-H7-60</t>
  </si>
  <si>
    <t>DG4V-3-42A-VM-KUP4-D3-H7-60-EN38</t>
  </si>
  <si>
    <t>DG4V-3-6C-M-U-HL7-60-A08-B06</t>
  </si>
  <si>
    <t>DG4V-3-48N-VM-KUP5-D2-G7-60-EN136</t>
  </si>
  <si>
    <t>DG4V-3-6C-M-KUP4-H7-60</t>
  </si>
  <si>
    <t>DG4V-3-2AL-H-M-U6-D6-60-EN38</t>
  </si>
  <si>
    <t>DG4V-3-3C-M-KUP4-D3-H7-60</t>
  </si>
  <si>
    <t>DG4V-3-6C-VM-U-SA7-60</t>
  </si>
  <si>
    <t>DG4V-3-521A-M-U-C6-60</t>
  </si>
  <si>
    <t>DG4V-3-0A-M-KUP5-D2-H7-60</t>
  </si>
  <si>
    <t>DG4V-3-2C-M-KUP5-D2-H7-60</t>
  </si>
  <si>
    <t>DG4V-3-2A-M-KUP5-D2-H7-60</t>
  </si>
  <si>
    <t>DG4V-3-0A-M-U-DN6-60</t>
  </si>
  <si>
    <t>DG4V-3-8C-H-VM-U-B6-61</t>
  </si>
  <si>
    <t>DG4V-3-8BL-VM-U-D6-61</t>
  </si>
  <si>
    <t>DG4V-3-24A-M-U-HL7-60</t>
  </si>
  <si>
    <t>DG4V-3-2C-M-U-NN6-60-EN165</t>
  </si>
  <si>
    <t>DG4V-3-2A-M-U-H7-60-P08</t>
  </si>
  <si>
    <t>DG4V-3-1C-M-U-B6-60</t>
  </si>
  <si>
    <t>DG4V-3-2N-M-U-EK6-60</t>
  </si>
  <si>
    <t>DG4V-3-24A-H-M-U-P7-60</t>
  </si>
  <si>
    <t>DG4V-3-0C-M-U-SA7-60</t>
  </si>
  <si>
    <t>DG4V-3R-6C-M-U-HM7-60</t>
  </si>
  <si>
    <t>DG4V-3-63N-M-U-H7-60</t>
  </si>
  <si>
    <t>DG4V-3-2N-M-KUP4-D2-G7-60-EN136</t>
  </si>
  <si>
    <t>DG4V-3-48C-VM-KUP4-D2-G7-60-EN136</t>
  </si>
  <si>
    <t>DG4V-3R-2A-M-U-HM7-60</t>
  </si>
  <si>
    <t>DG4V-3-0C-M-KUP4-D1-H7-60-EN137</t>
  </si>
  <si>
    <t>DG4V-3-2A-Z-VM-U-H7-60</t>
  </si>
  <si>
    <t>DG4V-2-6C-VM-U-HL6-10</t>
  </si>
  <si>
    <t>DG4V-3-2BL-M-KUP4-D1-H7-60</t>
  </si>
  <si>
    <t>DG4V-3-37A-M-U-B6-60</t>
  </si>
  <si>
    <t>DG4V-3-2C-VM-U-D6-60</t>
  </si>
  <si>
    <t>DG4V-3-2A-VM-U-SA7-60</t>
  </si>
  <si>
    <t>DG4V-3-24A-H-M-U-DG7-60-EN141</t>
  </si>
  <si>
    <t>DG4V-3-2C-VM-U-G7-60</t>
  </si>
  <si>
    <t>DG4V-3R-2C-M-U-HM7-60</t>
  </si>
  <si>
    <t>DG4V-3-0C207-M-U-HH7-60</t>
  </si>
  <si>
    <t>DG4V-3-2A209-M-U-HH7-60</t>
  </si>
  <si>
    <t>DG4V-3-2C3-M-U-HH7-60</t>
  </si>
  <si>
    <t>DG4V-3-6C3-M-U-HH7-60</t>
  </si>
  <si>
    <t>DG4V-3-2A208-M-U-HH7-60</t>
  </si>
  <si>
    <t>DG4V-3-2A-M-U-H7-60-P20</t>
  </si>
  <si>
    <t>DG4V-3-6A-Z-VM-U-H7-60</t>
  </si>
  <si>
    <t>DG4V-3-6N-M-U-H7-60-P10</t>
  </si>
  <si>
    <t>DG4V-3-6B208-M-U-HH7-60</t>
  </si>
  <si>
    <t>DG4V-3-6C-VM-KUPM4L-D7-H7-60</t>
  </si>
  <si>
    <t>DG4V-3-56C-H-M-U-H7-60</t>
  </si>
  <si>
    <t>DG4V-3-27AL-M-U-A6-60</t>
  </si>
  <si>
    <t>DG4V-3R-6C-VM-U-HM7-60</t>
  </si>
  <si>
    <t>DG4V-3R-2AL-VM-U-HM7-60</t>
  </si>
  <si>
    <t>DG4V-3-2AL-M-U-B6-60-EN38</t>
  </si>
  <si>
    <t>DG4V-3-8C-VM-KUP5-D2-H7-61-EN137</t>
  </si>
  <si>
    <t>DG4V-3-2AL-VM-U-SA7-60</t>
  </si>
  <si>
    <t>DG4V-3-2B-M-KUP5-G7-60</t>
  </si>
  <si>
    <t>DG4V-3R-2B-M-U-HM7-60</t>
  </si>
  <si>
    <t>DG4V-3-24A-VM-U-H7-60</t>
  </si>
  <si>
    <t>DG4V-2-0BL-M-KUP4-G6-10-EN17</t>
  </si>
  <si>
    <t>DG4V-3-2C-M-KUP4-H7-60</t>
  </si>
  <si>
    <t>DG4V-3-2C-M-KUP4-G7-60</t>
  </si>
  <si>
    <t>DG4V-3-2B-M-KUP4-H7-60</t>
  </si>
  <si>
    <t>DG4V-3-7B-M-KUP4-H7-60</t>
  </si>
  <si>
    <t>DG4V-3-0C-VM-U-D6-60</t>
  </si>
  <si>
    <t>DG4V-3-2B-M-KUP4-G7-60</t>
  </si>
  <si>
    <t>DG4V-3-8BL-W-VM-U-HL7-61</t>
  </si>
  <si>
    <t>DG4V-3-0B-W-M-U-G7-60</t>
  </si>
  <si>
    <t>DG4V-3-8BL-VM-KUP5-D2-H7-61</t>
  </si>
  <si>
    <t>DG4V-3-2C-VM-KUP5-D2-H7-60</t>
  </si>
  <si>
    <t>DG4V-3-2A-M-U-H7-60-EN26</t>
  </si>
  <si>
    <t>DG4V-3-2A207-VM-U-HH7-60</t>
  </si>
  <si>
    <t>DG4V-3-7B-M-U-D6-60</t>
  </si>
  <si>
    <t>DG4V-3M-2C-M-KUP5-D-H7-60</t>
  </si>
  <si>
    <t>DG4V-3-7A-M-U-C6-60</t>
  </si>
  <si>
    <t>DG4V-3M-33C-M-KUP5-D-G7-60</t>
  </si>
  <si>
    <t>DG4V-3-6C-W-M-U-H7-60</t>
  </si>
  <si>
    <t>DG4V-3-0C-W-M-U-H7-60</t>
  </si>
  <si>
    <t>DG4V-3-8C-W-VM-U-H7-61</t>
  </si>
  <si>
    <t>DG4V-3-2A-W-M-U-H7-60</t>
  </si>
  <si>
    <t>DG4V-3-2BL-M-KUP4-H7-60</t>
  </si>
  <si>
    <t>DG4V-3-6C-M-KUP4-D3-H7-60</t>
  </si>
  <si>
    <t>DG4V-3-0C3-M-KUP4-D1-HH7-60-EN137</t>
  </si>
  <si>
    <t>DG4V-3-2AL-VM-U-H7-60-P13</t>
  </si>
  <si>
    <t>DG4V-3-2A-W-M-U-H7-60-EN38</t>
  </si>
  <si>
    <t>DG4V-3-6C-W-M-U-H7-60-EN38</t>
  </si>
  <si>
    <t>DG4V-3-2C-W-M-U-H7-60</t>
  </si>
  <si>
    <t>DG4V-3-6C-W-VM-U-H7-60</t>
  </si>
  <si>
    <t>DG4V-3-2AL-W-M-U-H7-60</t>
  </si>
  <si>
    <t>DG4V-3-24AL-M-KUP5-G7-60</t>
  </si>
  <si>
    <t>DG4V-3-6C-M-KUP5-D2-H7-60</t>
  </si>
  <si>
    <t>DG4V-3-20C-M-KUP5-D2-H7-60</t>
  </si>
  <si>
    <t>DG4V-3-2AL3-M-U-HH7-60</t>
  </si>
  <si>
    <t>DG4V-3-2A3-M-U-HH7-60</t>
  </si>
  <si>
    <t>DG4V-3R-6B-M-U-HM7-60</t>
  </si>
  <si>
    <t>DG4V-3-2AL-M-U6-H7-60</t>
  </si>
  <si>
    <t>DG4V-3-2N-W-M-U-H7-60</t>
  </si>
  <si>
    <t>DG4V-3S-2A-M-X4-H7-60</t>
  </si>
  <si>
    <t>DG4V-3-7A-M-U-G7-60</t>
  </si>
  <si>
    <t>DG4V-3-6C-M-KUP5-D2-G7-60</t>
  </si>
  <si>
    <t>DG4V-3-521A-M-U-G7-60</t>
  </si>
  <si>
    <t>DG4V-3-7B-VM-U-H7-60</t>
  </si>
  <si>
    <t>DG4V-3-42A-VM-KUP4-D2-DS7-60-EN38</t>
  </si>
  <si>
    <t>DG4V-3-28A-M-U-G7-60</t>
  </si>
  <si>
    <t>DG4V-3-26AL-M-U-G7-60</t>
  </si>
  <si>
    <t>DG4V-3-33C-H-VM-U-SA7-60</t>
  </si>
  <si>
    <t>DG4V-3-2N-H-VM-U-SA7-60</t>
  </si>
  <si>
    <t>DG4V-3-6C-VM-KUP5-H7-60</t>
  </si>
  <si>
    <t>DG4V-3-22A-M-S7-U-H7-60</t>
  </si>
  <si>
    <t>DG4V-3-22AL-VM-S7-U-H7-60</t>
  </si>
  <si>
    <t>DG4V-3-56C-M-U-NN6-60</t>
  </si>
  <si>
    <t>DG4V-3-2A-W-M-U-SA7-60</t>
  </si>
  <si>
    <t>DG4V-3-2C-M-U-H7-60</t>
  </si>
  <si>
    <t>DG4V-3-2C-M-U-A6-60</t>
  </si>
  <si>
    <t>DG4V-3-2A-M-U-H7-60</t>
  </si>
  <si>
    <t>DG4V-3-2A-M-U-A6-60</t>
  </si>
  <si>
    <t>DG4V-3-2N-M-U-H7-60</t>
  </si>
  <si>
    <t>DG4V-3-2N-M-U-A6-60</t>
  </si>
  <si>
    <t>DG4V-3-6C-M-U-H7-60</t>
  </si>
  <si>
    <t>DG4V-3-6N-M-U-H7-60</t>
  </si>
  <si>
    <t>DG4V-3-2A-M-U-D6-60</t>
  </si>
  <si>
    <t>DG4V-3R-2AL-W-M-U-HM7-60</t>
  </si>
  <si>
    <t>DG4V-3-0C-H-M-U-DJ7-60</t>
  </si>
  <si>
    <t>DG4V 3 28AL VM U A6 60</t>
  </si>
  <si>
    <t>DG4V-3-2N-VM-U-SA7-60</t>
  </si>
  <si>
    <t>DG4V-3-26AL-M-KUP5-G7-60</t>
  </si>
  <si>
    <t>DG4V-3-26AL-M-KUP5-H7-60</t>
  </si>
  <si>
    <t>DG4V-3-33C-M-U-SA7-60</t>
  </si>
  <si>
    <t>DG4V-3-6BL-M-S7-U-H7-60</t>
  </si>
  <si>
    <t>DG4V-3-11C-VM-U-H7-60</t>
  </si>
  <si>
    <t>DG4V-3-33C-VM-U-SA7-60</t>
  </si>
  <si>
    <t>DG4V-3-0C-M-KUP4D2-G7-60-EN138-P20</t>
  </si>
  <si>
    <t>DG4V-3-6C-H-VM-U-SA7-60</t>
  </si>
  <si>
    <t>DG4V-3-2A-Z-VM-U-EK6-60</t>
  </si>
  <si>
    <t>DG4V 3 2A Z VM U EO7 60</t>
  </si>
  <si>
    <t>DG4V-3-6C-H-F3-AM-SN-PM4AS-H7-NP-70-00</t>
  </si>
  <si>
    <t>DG4V-3-6C-W-M-U-G7-60</t>
  </si>
  <si>
    <t>DG4V-3-2N-W-VM-U-H7-60</t>
  </si>
  <si>
    <t>DG4V-3-2N-M-KUP5-H7-60</t>
  </si>
  <si>
    <t>DG4V-3-0C-M-U-H7-60-P13</t>
  </si>
  <si>
    <t>DG4V-3-35A-VM-S7-U-H7-60</t>
  </si>
  <si>
    <t>DG4V-3-2A-M-S7-U-H7-60</t>
  </si>
  <si>
    <t>DG4V-3-2AL-M-S7-U-H7-60</t>
  </si>
  <si>
    <t>DG4V-3-0B-M-S7-U-H7-60</t>
  </si>
  <si>
    <t>DG4V-3-2B-M-S7-U-H7-60</t>
  </si>
  <si>
    <t>DG4V-3-2A-Z-M-S7-U-H7-60</t>
  </si>
  <si>
    <t>DG4V-3-2A-VM-S7-U-H7-60</t>
  </si>
  <si>
    <t>DG4V-3-2BL-M-S7-U-H7-60</t>
  </si>
  <si>
    <t>DG4V-3-2AL-VM-S7-U-H7-60</t>
  </si>
  <si>
    <t>DG4V-3-31BL-VM-S7-U-H7-60</t>
  </si>
  <si>
    <t>DG4V-3-2AL-VM-U-H7-60-P10</t>
  </si>
  <si>
    <t>DG4V-3-6C-M-U-G7-60-P20</t>
  </si>
  <si>
    <t>DG4V-3-6C-M-U-H7-60-P06</t>
  </si>
  <si>
    <t>DG4V-3S-33C-M-X4-H7-60</t>
  </si>
  <si>
    <t>DG4V-3-2N-H-M-U-D6-60-P06</t>
  </si>
  <si>
    <t>DG4V-3-6C-M-U-H7-60-P20</t>
  </si>
  <si>
    <t>DG4V-3-2A-M-KUP5-G7-60</t>
  </si>
  <si>
    <t>DG4V-3-8B-VM-KUP5-G7-61</t>
  </si>
  <si>
    <t>DG4V-3-2A-M-KUP5-H7-60</t>
  </si>
  <si>
    <t>DG4V-3-8B-VM-KUP5-H7-61</t>
  </si>
  <si>
    <t>DG4V-3-6A-VM-U-H7-60</t>
  </si>
  <si>
    <t>DG4V-3S-0BL-M-X4-H7-60</t>
  </si>
  <si>
    <t>DG4V-3-2B207-M-U-SH7-60</t>
  </si>
  <si>
    <t>DG4V-3-2C207-M-U-SH7-60</t>
  </si>
  <si>
    <t>DG4V-3-6C208-M-KUP4-HH7-60</t>
  </si>
  <si>
    <t>DG4V-3-2C209-M-U-PH7-60</t>
  </si>
  <si>
    <t>DG4V-3-0B208-M-U-EJH7-60</t>
  </si>
  <si>
    <t>DG4V-3-0B207-M-U-SH7-60</t>
  </si>
  <si>
    <t>DG4V-3-8C209-VM-U-GH7-60</t>
  </si>
  <si>
    <t>DG4V-3M-6C-M-KUP5-H7-65</t>
  </si>
  <si>
    <t>DG4V-3M-2C-M-KUP5D-G7-65</t>
  </si>
  <si>
    <t>DG4V-3M-6C-M-KUP5D-H7-65</t>
  </si>
  <si>
    <t>DG4V-3M-6C-VM-KUP5-H7-65</t>
  </si>
  <si>
    <t>DG4V-3M-8C-VM-U-G7-65</t>
  </si>
  <si>
    <t>DG4V-3M-8C-VM-U-H7-65</t>
  </si>
  <si>
    <t>DG4V-3M-33C-M-KUP5D-G7-65</t>
  </si>
  <si>
    <t>DG4V-3M-8BL-VM-KUP5D-H7-65</t>
  </si>
  <si>
    <t>DG4V-3M-2C-VM-KUP5-H7-65</t>
  </si>
  <si>
    <t>DG4V-3M-2C-VM-KUP5-G7-65</t>
  </si>
  <si>
    <t>DG4V-3M-6C-VM-KUP5-G7-65</t>
  </si>
  <si>
    <t>DG4V-3M-0C-VM-KUP5-H7-65</t>
  </si>
  <si>
    <t>DG4V-3M-0C-VM-KUP5-G7-65</t>
  </si>
  <si>
    <t>DG4V-3M-2A-VM-KUP5-H7-65</t>
  </si>
  <si>
    <t>DG4V-3M-2A-VM-KUP5-G7-65</t>
  </si>
  <si>
    <t>DG4V-3M-0A-VM-KUP5-H7-65</t>
  </si>
  <si>
    <t>DG4V-3M-0A-VM-KUP5-G7-65</t>
  </si>
  <si>
    <t>DG4V-3M-0C-M-U-G7-65</t>
  </si>
  <si>
    <t>DG4V-3M-0C-M-U-H7-65</t>
  </si>
  <si>
    <t>DG4V-3M-0B-M-U-G7-65</t>
  </si>
  <si>
    <t>DG4V-3-2A-M-U-B6-60</t>
  </si>
  <si>
    <t>DG4V-3-0B-M-U-H7-60</t>
  </si>
  <si>
    <t>DG4V-3-2C-M-U-B6-60</t>
  </si>
  <si>
    <t>DG4V-3-0C-M-U-H7-60</t>
  </si>
  <si>
    <t>DG4V-3-2N-M-U-C6-60</t>
  </si>
  <si>
    <t>DG4V-3-2N-VM-U-H7-60</t>
  </si>
  <si>
    <t>DG4V-3-6C-M-U-G7-60</t>
  </si>
  <si>
    <t>DG4V-3-0B-M-U-G7-60</t>
  </si>
  <si>
    <t>DG4V-3-2A-M-U-C6-60</t>
  </si>
  <si>
    <t>DG4V-3-2A-M-U-ED6-60</t>
  </si>
  <si>
    <t>DG4V-3-2C-M-U-D6-60</t>
  </si>
  <si>
    <t>DG4V-3-2C-M-U-ED6-60</t>
  </si>
  <si>
    <t>DG4V-3-2C-M-U-C6-60</t>
  </si>
  <si>
    <t>DG4V-3-6C-M-U-B6-60</t>
  </si>
  <si>
    <t>DG4V-3-6C-M-U-A6-60</t>
  </si>
  <si>
    <t>DG4V-3-6C-M-U-ED6-60</t>
  </si>
  <si>
    <t>DG4V-3-6C-M-U-C6-60</t>
  </si>
  <si>
    <t>DG4V-3-2N-M-U-B6-60</t>
  </si>
  <si>
    <t>DG4V-3-6C-VM-U-H7-60</t>
  </si>
  <si>
    <t>DG4V-3-7C-M-U-H7-60</t>
  </si>
  <si>
    <t>DG4V-3-2A-VM-U-H7-60</t>
  </si>
  <si>
    <t>DG4V-3-2A-M-U-G7-60</t>
  </si>
  <si>
    <t>DG4V-3-2AL-M-U-A6-60</t>
  </si>
  <si>
    <t>DG4V-3-2AL-M-U-C6-60</t>
  </si>
  <si>
    <t>DG4V-3-0B-M-U-C6-60</t>
  </si>
  <si>
    <t>DG4V-3-0C-M-U-B6-60</t>
  </si>
  <si>
    <t>DG4V-3-0B-M-U-A6-60</t>
  </si>
  <si>
    <t>DG4V-3-0B-M-U-B6-60</t>
  </si>
  <si>
    <t>DG4V-3-0C-M-U-A6-60</t>
  </si>
  <si>
    <t>DG4V-3-0C-M-U-C6-60</t>
  </si>
  <si>
    <t>DG4V-3-0C-M-U-ED6-60</t>
  </si>
  <si>
    <t>DG4V-3-0A-M-U-A6-60</t>
  </si>
  <si>
    <t>DG4V-3-0A-M-U-C6-60</t>
  </si>
  <si>
    <t>DG4V-3-22A-M-U-A6-60</t>
  </si>
  <si>
    <t>DG4V-3-24A-M-U-A6-60</t>
  </si>
  <si>
    <t>DG4V-3-2B-M-U-G7-60</t>
  </si>
  <si>
    <t>DG4V-3-2B-M-U-C6-60</t>
  </si>
  <si>
    <t>DG4V-3-2B-M-U-B6-60</t>
  </si>
  <si>
    <t>DG4V-3-2B-M-U-A6-60</t>
  </si>
  <si>
    <t>DG4V-3-2BL-M-U-A6-60</t>
  </si>
  <si>
    <t>DG4V-3-2B-M-U-H7-60</t>
  </si>
  <si>
    <t>DG4V-3-2AL-M-U-H7-60</t>
  </si>
  <si>
    <t>DG4V-3-2C-M-U-G7-60</t>
  </si>
  <si>
    <t>DG4V-3-2C-VM-U-H7-60</t>
  </si>
  <si>
    <t>DG4V-3-33C-M-U-H7-60</t>
  </si>
  <si>
    <t>DG4V-3-52C-M-U-G7-60</t>
  </si>
  <si>
    <t>DG4V-3-3C-M-U-C6-60</t>
  </si>
  <si>
    <t xml:space="preserve">DG21V 3 2AL 2 60  </t>
  </si>
  <si>
    <t>DG4V-3-7C-M-U-C6-60</t>
  </si>
  <si>
    <t>DG4V-3-42A-VM-U-H7-60-EN38</t>
  </si>
  <si>
    <t>DG4V-3-6C-M-U-EJ7-60</t>
  </si>
  <si>
    <t>DG4V-3-0B-VM-U-H7-60</t>
  </si>
  <si>
    <t>DG4V-3-0B-M-U-ED6-60</t>
  </si>
  <si>
    <t>DG4V-3-0B-VM-U-A6-60</t>
  </si>
  <si>
    <t>DG4V-3-2AL-M-U-B6-60</t>
  </si>
  <si>
    <t>DG4V-3-2AL-VM-U-H7-60</t>
  </si>
  <si>
    <t>DG4V-3-6C-VM-U-C6-60</t>
  </si>
  <si>
    <t>DG4V-3-6C-VM-U-A6-60</t>
  </si>
  <si>
    <t>DG4V-3-6C-VM-U-B6-60</t>
  </si>
  <si>
    <t>DG4V-3-6B-M-U-H7-60</t>
  </si>
  <si>
    <t>DG4V-3-6N-M-U-C6-60</t>
  </si>
  <si>
    <t>DG4V-3-6N-M-U-A6-60</t>
  </si>
  <si>
    <t>DG4V-3-6C-VM-U-G7-60</t>
  </si>
  <si>
    <t>DG4V-3-6C-M-U-D6-60</t>
  </si>
  <si>
    <t>DG4V-3-2A-VM-U-A6-60</t>
  </si>
  <si>
    <t>DG4V-3-7C-M-U-A6-60</t>
  </si>
  <si>
    <t>DG4V-3-6B-VM-U-A6-60</t>
  </si>
  <si>
    <t>DG4V-3-2A-VM-U-C6-60</t>
  </si>
  <si>
    <t>DG4V-3-24A-M-U-G7-60</t>
  </si>
  <si>
    <t>DG4V-3-56C-M-U-H7-60</t>
  </si>
  <si>
    <t>DG4V-3-52C-M-U-H7-60</t>
  </si>
  <si>
    <t>DG4V-3-3C-M-U-H7-60</t>
  </si>
  <si>
    <t>DG4V-3-0A-M-U-H7-60</t>
  </si>
  <si>
    <t>DG4V-3-0C-M-U-G7-60</t>
  </si>
  <si>
    <t>DG4V-3-0BL-M-U-H7-60</t>
  </si>
  <si>
    <t>DG4V-3-0A-M-U-G7-60</t>
  </si>
  <si>
    <t>DG4V-3-22A-M-U-H7-60</t>
  </si>
  <si>
    <t>DG4V-3-22A-M-U-G7-60</t>
  </si>
  <si>
    <t>DG4V-3-2BL-M-U-H7-60</t>
  </si>
  <si>
    <t>DG4V-3-6B-M-U-A6-60</t>
  </si>
  <si>
    <t>DG4V-3-2N-M-U-ED6-60</t>
  </si>
  <si>
    <t>DG4V-3-2B-M-U-ED6-60</t>
  </si>
  <si>
    <t>DG4V-3-2C-H-M-U-G7-60-EN38</t>
  </si>
  <si>
    <t>DG4V-3-0B-H-M-U-G7-60</t>
  </si>
  <si>
    <t>DG4V-3-6C-H-M-U-G7-60</t>
  </si>
  <si>
    <t>DG4V-3-6C-H-M-U-H7-60</t>
  </si>
  <si>
    <t>DG4V-3-24A-H-M-U-H7-60</t>
  </si>
  <si>
    <t>DG4V-3-2AL-H-M-U-G7-60</t>
  </si>
  <si>
    <t>DG4V-3-2A-H-M-U-G7-60</t>
  </si>
  <si>
    <t>DG4V-3-0C-H-M-U-H7-60</t>
  </si>
  <si>
    <t>DG4V-3-0A-H-M-U-G7-60</t>
  </si>
  <si>
    <t>DG4V-3-2N-M-U-G7-60</t>
  </si>
  <si>
    <t>DG4V-3-31C-M-U-H7-60</t>
  </si>
  <si>
    <t>DG4V-3-2N-M-U-D6-60</t>
  </si>
  <si>
    <t>DG4V-3-0AL-VM-U-H7-60</t>
  </si>
  <si>
    <t>DG4V-3-33C-VM-U-H7-60</t>
  </si>
  <si>
    <t>DG4V-3-2AL-M-U-NN6-60</t>
  </si>
  <si>
    <t>DG4V-3-2A-M-U-NN6-60</t>
  </si>
  <si>
    <t>DG4V-3-2N-M-U-NN6-60</t>
  </si>
  <si>
    <t>DG4V-3-3C-M-U-NN6-60</t>
  </si>
  <si>
    <t>DG4V-3-6C-M-U-NN6-60</t>
  </si>
  <si>
    <t>DG4V-3-3C-M-U-A6-60</t>
  </si>
  <si>
    <t>DG4V-3-2A-M-U-DP7-60</t>
  </si>
  <si>
    <t>DG4V-3-22A-M-U-C6-60</t>
  </si>
  <si>
    <t>DG4V-3-24A-M-U-C6-60</t>
  </si>
  <si>
    <t>DG4V-3-6B-M-U-C6-60</t>
  </si>
  <si>
    <t>DG4V-3-2C-H-M-U-C6-60</t>
  </si>
  <si>
    <t>DG4V-3-22AL-M-U-H7-60</t>
  </si>
  <si>
    <t>DG4V-3-23A-Z-M-U-H7-60</t>
  </si>
  <si>
    <t>DG4V-3-2A-Z-M-U-H7-60</t>
  </si>
  <si>
    <t>DG4V-3-7B-M-U-H7-60</t>
  </si>
  <si>
    <t>DG4V-3-2N-M-U-DP7-60</t>
  </si>
  <si>
    <t>DG4V-3-0A-M-U-ED6-60</t>
  </si>
  <si>
    <t>DG4V-3-2B-H-M-U-H7-60</t>
  </si>
  <si>
    <t>DG4V-3-3C-M-U-B6-60</t>
  </si>
  <si>
    <t>DG4V-3-31C-M-U-C6-60</t>
  </si>
  <si>
    <t>DG4V-3-2C-H-M-U-H7-60</t>
  </si>
  <si>
    <t>DG4V-3-2AL-M-U-DP7-60</t>
  </si>
  <si>
    <t>DG4V-3-0A-H-M-U-H7-60</t>
  </si>
  <si>
    <t>DG4V-3-2A-H-M-U-H7-60</t>
  </si>
  <si>
    <t>DG4V-3-6B-M-U-B6-60</t>
  </si>
  <si>
    <t>DG4V-3-2BL-M-U-G7-60</t>
  </si>
  <si>
    <t>DG4V-3-2A-M-U-EJ7-60</t>
  </si>
  <si>
    <t>DG4V-3-6B-M-U-G7-60</t>
  </si>
  <si>
    <t>DG4V-3-0C-M-U-D6-60</t>
  </si>
  <si>
    <t>DG4V-3-561B-M-U-H7-60</t>
  </si>
  <si>
    <t>DG4V-3-35A-VM-U-H7-60</t>
  </si>
  <si>
    <t>DG4V-3-0C-M-U-NN6-60</t>
  </si>
  <si>
    <t>DG4V-3-2N-H-M-U1-B6-60-EN38</t>
  </si>
  <si>
    <t>DG4V-3-0B-H-VM-U-H7-60</t>
  </si>
  <si>
    <t>DG4V-3-521B-M-U-G7-60</t>
  </si>
  <si>
    <t>DG4V-3-2AL-M-U-P7-60</t>
  </si>
  <si>
    <t>DG4V-3-2C-M-U-NN6-60</t>
  </si>
  <si>
    <t>DG4V-3-0AL-M-U-H7-60</t>
  </si>
  <si>
    <t>DG4V-3-23A-M-U-A6-60</t>
  </si>
  <si>
    <t>DG4V-3-0B-M-U-NN6-60</t>
  </si>
  <si>
    <t>DG4V-3-0B-M-U-KK6-60</t>
  </si>
  <si>
    <t>DG4V-3-0C-M-U-KK6-60</t>
  </si>
  <si>
    <t>DG4V-3-24A-M-U-H7-60</t>
  </si>
  <si>
    <t>DG4V-3-6C-M-U-KK6-60</t>
  </si>
  <si>
    <t>DG4V-3-22C-M-U-H7-60</t>
  </si>
  <si>
    <t>DG4V-3-23A-M-U-H7-60</t>
  </si>
  <si>
    <t>DG4V-3-0AL-H-M-U-H7-60</t>
  </si>
  <si>
    <t>DG4V-3-2C-H-M-U-G7-60</t>
  </si>
  <si>
    <t>DG4V-3-7C-VM-U-H7-60</t>
  </si>
  <si>
    <t>DG4V-3-6C-VM-U-D6-60</t>
  </si>
  <si>
    <t>DG4V-3-0B-M-U-D6-60</t>
  </si>
  <si>
    <t>DG4V-3-1C-M-U-H7-60</t>
  </si>
  <si>
    <t>DG4V-3-0A-VM-U-H7-60</t>
  </si>
  <si>
    <t>DG4V-3-521B-M-U-H7-60</t>
  </si>
  <si>
    <t>DG4V-3-0BL-M-U-C6-60</t>
  </si>
  <si>
    <t>DG4V-3-56C-VM-U-H7-60</t>
  </si>
  <si>
    <t>DG4V-3-35A-Z-VM-U-H7-60</t>
  </si>
  <si>
    <t>DG4V-3-6C-M-U-DJ7-60</t>
  </si>
  <si>
    <t>DG4V-3-48N-VM-U-G7-60</t>
  </si>
  <si>
    <t>DG4V-3-24AL-M-U-G7-60</t>
  </si>
  <si>
    <t>DG4V-3-0BL-M-U-G7-60</t>
  </si>
  <si>
    <t>DG4V-3-6C-H-VM-U-H7-60</t>
  </si>
  <si>
    <t>DG4V-3-0C-H-M-U-G7-60</t>
  </si>
  <si>
    <t>DG4V-3-32A-M-U-H7-60</t>
  </si>
  <si>
    <t>DG4V-3-2BL-M-U-C6-60</t>
  </si>
  <si>
    <t>DG4V-3-2AL-H-M-U-H7-60</t>
  </si>
  <si>
    <t>DG4V-3-2N-VM-U-A6-60</t>
  </si>
  <si>
    <t>DG4V-3-3BL-M-U-H7-60</t>
  </si>
  <si>
    <t>DG4V-3-0C-VM-U-A6-60</t>
  </si>
  <si>
    <t>DG4V-3-0A-VM-U-A6-60</t>
  </si>
  <si>
    <t>DG4V-3-6BL-M-U-H7-60</t>
  </si>
  <si>
    <t>DG4V-3-31C-M-U-G7-60</t>
  </si>
  <si>
    <t>DG4V-3-2C-VM-U-B6-60</t>
  </si>
  <si>
    <t>DG4V-3-2B-M-U-D6-60</t>
  </si>
  <si>
    <t>DG4V-3-6C-H-VM-U-A6-60</t>
  </si>
  <si>
    <t>DG4V-3-7BL-M-U-H7-60</t>
  </si>
  <si>
    <t>DG4V-3-2N-M-U-P7-60</t>
  </si>
  <si>
    <t>DG4V-3-6C-M-U-P7-60</t>
  </si>
  <si>
    <t>DG4V-3-0B-H-M-U-H7-60</t>
  </si>
  <si>
    <t>DG4V-3-31C-H-M-U-H7-60</t>
  </si>
  <si>
    <t>DG4V-3-2BL-M-U-B6-60</t>
  </si>
  <si>
    <t>DG4V-3-0C-M-U-P7-60</t>
  </si>
  <si>
    <t>DG4V-3-2B-M-U-P7-60</t>
  </si>
  <si>
    <t>DG4V-3-2C-M-U-P7-60</t>
  </si>
  <si>
    <t>DG4V-3-2B-VM-U-H7-60</t>
  </si>
  <si>
    <t>DG4V-3-0BL-M-U-A6-60</t>
  </si>
  <si>
    <t>DG4V-3-6BL-VM-U-H7-60</t>
  </si>
  <si>
    <t>DG4V-3-2C-VM-U-A6-60</t>
  </si>
  <si>
    <t>DG4V-3-2A-VM-U-B6-60</t>
  </si>
  <si>
    <t>DG4V-3-6C-Z-VM-U-H7-60</t>
  </si>
  <si>
    <t>DG4V-3-2AL-M-U-G7-60</t>
  </si>
  <si>
    <t>DG4V-3-2A-M-U-P7-60</t>
  </si>
  <si>
    <t>DG4V-3-2AL-M-U-D6-60</t>
  </si>
  <si>
    <t>DG4V-3-7C-H-M-U-H7-60</t>
  </si>
  <si>
    <t>DG4V-3-2AL-M-U-ED6-60</t>
  </si>
  <si>
    <t>DG4V-3-2BL-M-U-D6-60</t>
  </si>
  <si>
    <t>DG4V-3-2C-M-U-EJ7-60</t>
  </si>
  <si>
    <t>DG4V-3-2C-M-U-OJ7-60</t>
  </si>
  <si>
    <t>DG4V-3-6B-M-U-NN6-60</t>
  </si>
  <si>
    <t>DG4V-3-2A-M-U-HL7-60</t>
  </si>
  <si>
    <t>DG4V-3-3C-VM-U-H7-60</t>
  </si>
  <si>
    <t>DG4V-3-0A-M-U-B6-60</t>
  </si>
  <si>
    <t>DG4V-3-1C-M-U-A6-60</t>
  </si>
  <si>
    <t>DG4V-3-22AL-M-U-B6-60</t>
  </si>
  <si>
    <t>DG4V-3-6C-Z-M-U-H7-60</t>
  </si>
  <si>
    <t>DG4V-3-28A-M-U-H7-60</t>
  </si>
  <si>
    <t>DG4V-3-561C-M-U-H7-60</t>
  </si>
  <si>
    <t>DG4V-3-0C-VM-U-H7-60</t>
  </si>
  <si>
    <t>DG4V-3-7C-M-U-B6-60</t>
  </si>
  <si>
    <t>DG4V-3-0B-M-U-P7-60</t>
  </si>
  <si>
    <t>DG4V-3-32A-Z-M-U-H7-60</t>
  </si>
  <si>
    <t>DG4V-3-6N-VM-U-H7-60</t>
  </si>
  <si>
    <t>DG4V-3-0BL-M-U-B6-60</t>
  </si>
  <si>
    <t>DG4V-3-0AL-M-U-C6-60</t>
  </si>
  <si>
    <t>DG4V-3-0AL-M-U-A6-60</t>
  </si>
  <si>
    <t>DG4V-3-22AL-VM-U-H7-60</t>
  </si>
  <si>
    <t>DG4V-3-32AL-M-U-H7-60</t>
  </si>
  <si>
    <t>DG4V-3-2A-M-U-B6-60-EN38</t>
  </si>
  <si>
    <t>DG4V-3-6BL-M-U-B6-60</t>
  </si>
  <si>
    <t>DG4V-3-3BL-M-U-A6-60</t>
  </si>
  <si>
    <t>DG4V-3-2A-H-M-U-B6-60</t>
  </si>
  <si>
    <t>DG4V-3-6BL-M-U-A6-60</t>
  </si>
  <si>
    <t>DG4V-3-0BL-M-U-D6-60</t>
  </si>
  <si>
    <t>DG4V-3-24A-M-U-D6-60</t>
  </si>
  <si>
    <t>DG4V-3-33C-M-U-G7-60</t>
  </si>
  <si>
    <t>DG4V-3-7C-VM-U-A6-60</t>
  </si>
  <si>
    <t>DG4V-3-2A-H-M-U-D6-60</t>
  </si>
  <si>
    <t>DG4V-3-6C-H-M-U-D6-60</t>
  </si>
  <si>
    <t>DG4V-3-35A-VM-U-C6-60</t>
  </si>
  <si>
    <t>DG4V-3-6N-M-U-D6-60</t>
  </si>
  <si>
    <t>DG4V-3-2B-M-U-DF7-60</t>
  </si>
  <si>
    <t>DG4V-3-2C-VM-U-C6-60</t>
  </si>
  <si>
    <t>DG4V-3-22A-VM-U-H7-60</t>
  </si>
  <si>
    <t>DG4V-3-6C-H-M-U-GL7-60</t>
  </si>
  <si>
    <t>DG4V-3-31B-M-U-C6-60</t>
  </si>
  <si>
    <t>DG4V-3-0B-H-M-U-GL7-60</t>
  </si>
  <si>
    <t>DG4V-3-2B-H-M-U-GL7-60-EN38</t>
  </si>
  <si>
    <t>DG4V-3-6B-VM-U-H7-60</t>
  </si>
  <si>
    <t>DG4V-3-52BL-M-U-H7-60</t>
  </si>
  <si>
    <t>DG4V-3-1B-M-U-H7-60</t>
  </si>
  <si>
    <t>DG4V-3-22C-M-U-A6-60</t>
  </si>
  <si>
    <t>DG4V-3-6BL-M-U-C6-60</t>
  </si>
  <si>
    <t>DG4V-3-0C-VM-U-C6-60</t>
  </si>
  <si>
    <t>DG4V-3-7C-Z-M-U-H7-60</t>
  </si>
  <si>
    <t>DG4V-3-24A-M-U-B6-60</t>
  </si>
  <si>
    <t>DG4V-3-521C-M-U-C6-60</t>
  </si>
  <si>
    <t>DG4V-3-2AL-P2-M-U-P7-60</t>
  </si>
  <si>
    <t>DG4V-3-56C-M-U-A6-60</t>
  </si>
  <si>
    <t>DG4V-3-52C-M-U-B6-60</t>
  </si>
  <si>
    <t>DG4V-3-521B-M-U-C6-60</t>
  </si>
  <si>
    <t>DG4V-3-2A-M-U-BL6-60</t>
  </si>
  <si>
    <t>DG4V-2-2C-M-U-H6-10</t>
  </si>
  <si>
    <t>DG4V-2-0C-M-U-H6-10</t>
  </si>
  <si>
    <t>DG4V-2-6C-M-U-H6-10</t>
  </si>
  <si>
    <t>DG4V-2-8C-VM-U-H6-10</t>
  </si>
  <si>
    <t>DG4V-2-2A-M-U-H6-10</t>
  </si>
  <si>
    <t>DG4V-3-52C-M-U-D6-60</t>
  </si>
  <si>
    <t>DG4V-2-2AL-M-U-H6-10</t>
  </si>
  <si>
    <t>DG4V-2-2C-M-U-DJ6-10</t>
  </si>
  <si>
    <t>DG4V-2-6B-M-U-H6-10</t>
  </si>
  <si>
    <t>DG4V-2-6C-M-U-DJ6-10</t>
  </si>
  <si>
    <t>DG4V-2-2N-M-U-H6-10</t>
  </si>
  <si>
    <t>DG4V-3-6C208-M-U-HH7-60</t>
  </si>
  <si>
    <t>DG4V-3-33C208-M-U-HH7-60</t>
  </si>
  <si>
    <t>DG4V-3-0C208-M-U-HH7-60</t>
  </si>
  <si>
    <t>DG4V-2-0B-M-U-H6-10</t>
  </si>
  <si>
    <t>DG4V-2-6C-VM-U-H6-10</t>
  </si>
  <si>
    <t>DG4V-3-6C-H-M-U-BL6-60</t>
  </si>
  <si>
    <t>DG4V-3-2C208-M-U-HH7-60</t>
  </si>
  <si>
    <t>DG4V-3-52C-VM-U-A6-60</t>
  </si>
  <si>
    <t>DG4V-3-6C-M-U6-H7-60</t>
  </si>
  <si>
    <t>DG4V-3-6C209-M-U-HH7-60</t>
  </si>
  <si>
    <t>DG4V-3-56BL-M-U-D6-60</t>
  </si>
  <si>
    <t>DG4V-2-2A-VM-U-HL6-10</t>
  </si>
  <si>
    <t>DG4V-3-561C-M-U-B6-60</t>
  </si>
  <si>
    <t>DG4V-3-33C-M-U-D6-60</t>
  </si>
  <si>
    <t>DG4V-3-6C-H-VM-U-BL6-60</t>
  </si>
  <si>
    <t>DG4V-3-33C-M-U6-H7-60</t>
  </si>
  <si>
    <t>DG4V-2-0AL-M-U-H6-10</t>
  </si>
  <si>
    <t>DG4V-3-2C200-M-U-HH7-60</t>
  </si>
  <si>
    <t>DG4V-3-2C209-M-U-HH7-60</t>
  </si>
  <si>
    <t>DG4V-3-6C207-VM-U-HH7-60</t>
  </si>
  <si>
    <t>DG4V-3-2C-P-F3-AM-SN-PM4AS-H7-NP-70</t>
  </si>
  <si>
    <t>DG4V-3-6C-P-F3-AM-SN-PM4AS-H7-NP-70</t>
  </si>
  <si>
    <t>DG4V-3-6C207-M-U-SH7-60</t>
  </si>
  <si>
    <t>F6-DG4V-3-6C-M-KUPM4L-D7-H7-60</t>
  </si>
  <si>
    <t>DG4V-3-2N-VM-KUPM4L-D7-H7-60</t>
  </si>
  <si>
    <t>DG4V-3-2C208-VM-U-HH7-60</t>
  </si>
  <si>
    <t>DG4V-3S-6C-M-X4-H7-60</t>
  </si>
  <si>
    <t>DG4V-3S-2C-M-X4-H7-60</t>
  </si>
  <si>
    <t>DG4V-3S-8C-VM-X4-H7-61</t>
  </si>
  <si>
    <t>DG4V-3S-0C-M-X4-H7-60</t>
  </si>
  <si>
    <t>DG4V3-6C-M-S9D2-U-H5-60</t>
  </si>
  <si>
    <t>DG4V-3-0C208-VM-U-HH7-60</t>
  </si>
  <si>
    <t>DG4V-3-8C208-VM-U-HH7-60</t>
  </si>
  <si>
    <t>DG4V-3-6C208-VM-U-HH7-60</t>
  </si>
  <si>
    <t>DG4V-3-2N208-VM-U-HH7-60</t>
  </si>
  <si>
    <t>DG4V-3-0A208-VM-U-HH7-60</t>
  </si>
  <si>
    <t>DG4V-3M-0C-M-KUP5-G7-65</t>
  </si>
  <si>
    <t>DG4V-3-33C-M-U-A6-60</t>
  </si>
  <si>
    <t>DG4V-3-33C-M-U-B6-60</t>
  </si>
  <si>
    <t>DG4V-3-33C-M-U-C6-60</t>
  </si>
  <si>
    <t>DG4V-3-52C-M-U-C6-60</t>
  </si>
  <si>
    <t>DG4V-3-56C-M-U-C6-60</t>
  </si>
  <si>
    <t>DG4V-3-52C-M-U-A6-60</t>
  </si>
  <si>
    <t>DGMC-3-PT-AW-41</t>
  </si>
  <si>
    <t>DGMC-3-BT-GW-41</t>
  </si>
  <si>
    <t>DGMR1-3-PP-CW-B-40</t>
  </si>
  <si>
    <t>DGMFN-3-Y-A2W-41</t>
  </si>
  <si>
    <t>DGMC-3-BT-BW-41</t>
  </si>
  <si>
    <t>DGMPC-3-ABN-BAN-41</t>
  </si>
  <si>
    <t>DGMC-3-AT-GW-41</t>
  </si>
  <si>
    <t>DGMX2-3-PPL-BH-B-40</t>
  </si>
  <si>
    <t>DGMFN-3-X-A2W-41</t>
  </si>
  <si>
    <t>DGMFN-3-Y-B2W-41</t>
  </si>
  <si>
    <t>DGMR1-3-PP-BW-B-40</t>
  </si>
  <si>
    <t>DGMFN-3-Y-A2H-B2H-41</t>
  </si>
  <si>
    <t>DGMX2-3-PP-BK-B-40</t>
  </si>
  <si>
    <t>DGMR-3-TA-BW-B-40</t>
  </si>
  <si>
    <t>DGMR-3-TA-FW-B-40</t>
  </si>
  <si>
    <t>DGMR1-3-PP-FW-B-40</t>
  </si>
  <si>
    <t>DGMC2-3-AB-BW-BA-CW-41</t>
  </si>
  <si>
    <t>DGMC2-3-AT-GW-BT-BW-41</t>
  </si>
  <si>
    <t>DGMC-3-PT-GH-41</t>
  </si>
  <si>
    <t>DGMDC-3-Y-AK-BK-41</t>
  </si>
  <si>
    <t>DGMPC-3-D-ABK-41</t>
  </si>
  <si>
    <t>DGMX2-3-PP-BH-B-40</t>
  </si>
  <si>
    <t>DGMPC-3-D-BAK-41</t>
  </si>
  <si>
    <t>DGMC-3-AB-BW-41</t>
  </si>
  <si>
    <t>DGMX2-3-PPL-FW-B-40</t>
  </si>
  <si>
    <t>DGMC-3-AT-AW-41</t>
  </si>
  <si>
    <t>DGMC-3-AT-BW-41</t>
  </si>
  <si>
    <t>DGMX2-3-PPL-BW-B-40</t>
  </si>
  <si>
    <t>DGMX2-3-PPL-AW-B-40</t>
  </si>
  <si>
    <t>DGMDC-3-X-TN-41</t>
  </si>
  <si>
    <t>DGMFN-3-Y-A1W-41</t>
  </si>
  <si>
    <t>DGMFN-3-X-A1W-41</t>
  </si>
  <si>
    <t>DGMFN-3-X-B1W-41</t>
  </si>
  <si>
    <t>DGMDC-3-Y-PM-41</t>
  </si>
  <si>
    <t>DGMPC-3-ABM-BAM-41</t>
  </si>
  <si>
    <t>DGMPC-3-ABM-41</t>
  </si>
  <si>
    <t>DGMPC-3-ABN-41</t>
  </si>
  <si>
    <t>DGMPC-3-BAM-41</t>
  </si>
  <si>
    <t>DGMPC-3-BAN-41</t>
  </si>
  <si>
    <t>DGMC-3-AT-CW-41</t>
  </si>
  <si>
    <t>DGMC2-3-AB-CW-BA-BW-41</t>
  </si>
  <si>
    <t>DGMC2-3-AB-GW-BA-CW-41</t>
  </si>
  <si>
    <t>DGMC-3-PT-GW-S-41</t>
  </si>
  <si>
    <t>DGMX2-3-PPL-CW-S-40</t>
  </si>
  <si>
    <t>DGMFN-3-Z-T2H-41</t>
  </si>
  <si>
    <t>DGMFN-3-X-A2H-B2H-41</t>
  </si>
  <si>
    <t>DGMX2-3-PB-BK-B-40</t>
  </si>
  <si>
    <t>DGMX2-3-PP-CK-B-40</t>
  </si>
  <si>
    <t>DGMX2-3-PP-AK-B-40</t>
  </si>
  <si>
    <t>DGMC2-3-AT-GW-BT-AW-41</t>
  </si>
  <si>
    <t>DGMC-3-AT-CW-B-41</t>
  </si>
  <si>
    <t>DGMX2-3-PB-CK-B-40</t>
  </si>
  <si>
    <t>DGMC-3-AT-CW-S-41</t>
  </si>
  <si>
    <t>DGMC-3-AB-GW-41</t>
  </si>
  <si>
    <t>DGMX2-3-PP-YW-B-40</t>
  </si>
  <si>
    <t>DGMFN-3-Z-P2H-41</t>
  </si>
  <si>
    <t>DGMC-3-PT-CH-41</t>
  </si>
  <si>
    <t>DGMC-3-BA-CW-41</t>
  </si>
  <si>
    <t>DGMC-3-PT-BW-B-41</t>
  </si>
  <si>
    <t>DGMC2-3-AT-AW-BT-AW-41</t>
  </si>
  <si>
    <t>DGMC-3-PT-CH-B-41</t>
  </si>
  <si>
    <t>DGMR-3-TA-AW-B-40</t>
  </si>
  <si>
    <t>DGMR-3-TA-CW-B-40</t>
  </si>
  <si>
    <t>DGMR1-3-PP-AW-B-40</t>
  </si>
  <si>
    <t>DGMX2-3-PP-CH-B-40</t>
  </si>
  <si>
    <t>DGMDC-3-Y-BM-41</t>
  </si>
  <si>
    <t>DGMX2-3-PP-FH-B-40</t>
  </si>
  <si>
    <t>DGMFN-3-Y-A2W-B1W-41</t>
  </si>
  <si>
    <t>DGMC2-3-AB-CW-BA-GW-41</t>
  </si>
  <si>
    <t>DGMX2-3-PP-RW-B-40</t>
  </si>
  <si>
    <t>DGMX2-3-PA-RW-B-40</t>
  </si>
  <si>
    <t>DGMX2-3-PB-RW-B-40</t>
  </si>
  <si>
    <t>DGMFN-3-X-A1K-B1K-41</t>
  </si>
  <si>
    <t>DGMX2-3-PP-AH-B-40</t>
  </si>
  <si>
    <t>DGMC-3-AT-GW-B-41</t>
  </si>
  <si>
    <t>DGMFN-3-Y-A1W-B2W-41</t>
  </si>
  <si>
    <t>DGMX1-3-PP-BW-B-40</t>
  </si>
  <si>
    <t>DGMC-3-PT-CW-S-41</t>
  </si>
  <si>
    <t>DGMDC-3-X-TL-41</t>
  </si>
  <si>
    <t>DGMC2-3-AB-AW-BA-AW-41</t>
  </si>
  <si>
    <t>DGMC2-3-AT-CW-BT-GW-41</t>
  </si>
  <si>
    <t>DGMC-3-PT-BH-41</t>
  </si>
  <si>
    <t>DGMPC-3-D-ABN-D-BAN-41</t>
  </si>
  <si>
    <t>DGMC-3-PT-AW-B-41</t>
  </si>
  <si>
    <t>DGMDC-3-Y-AN-BN-41</t>
  </si>
  <si>
    <t>DGMX1-3-PP-AK-B-40</t>
  </si>
  <si>
    <t>DGMX2-3-PA-FK-B-40</t>
  </si>
  <si>
    <t>DGMFN-3-Z-P1H-41</t>
  </si>
  <si>
    <t xml:space="preserve">DGMX1 3 PB BW B 40  </t>
  </si>
  <si>
    <t xml:space="preserve">DGMX2 3 PA BH B 40  </t>
  </si>
  <si>
    <t>DGMC2-3-AT-CH-BT-CH-41</t>
  </si>
  <si>
    <t>DGMDC-3-X-AN-41</t>
  </si>
  <si>
    <t>DGMDC-3-Y-AN-41</t>
  </si>
  <si>
    <t xml:space="preserve">DGMR 3 TA AH B 40  </t>
  </si>
  <si>
    <t xml:space="preserve">DGMX2 3 PBL CW B 40  </t>
  </si>
  <si>
    <t>DGMFN-3-Y-A2H-41</t>
  </si>
  <si>
    <t xml:space="preserve">DGMX2 3 PB BH B 40  </t>
  </si>
  <si>
    <t>DGMFN-3-X-B1H-41</t>
  </si>
  <si>
    <t>DGMX1-3-PP-AW-20</t>
  </si>
  <si>
    <t xml:space="preserve">DGMX1 3 PP CW B 40  </t>
  </si>
  <si>
    <t>DGMDC-3-Y-PN-41</t>
  </si>
  <si>
    <t xml:space="preserve">DGMX2 3 PPL BK B 40  </t>
  </si>
  <si>
    <t>DGMFN-3-X-A1H-B1H-41</t>
  </si>
  <si>
    <t xml:space="preserve">DGMX3 3 PP CW B 40  </t>
  </si>
  <si>
    <t xml:space="preserve">DGMX1 3 PP YW B 40  </t>
  </si>
  <si>
    <t xml:space="preserve">DGMX2 3 PA CH B 40  </t>
  </si>
  <si>
    <t xml:space="preserve">DGMX2 3 PA FH B 40  </t>
  </si>
  <si>
    <t xml:space="preserve">DGMX1 3 PP FW B 40  </t>
  </si>
  <si>
    <t xml:space="preserve">DGMX1 3 PA BW B 40  </t>
  </si>
  <si>
    <t>DGMFN-3-X-A1H-41</t>
  </si>
  <si>
    <t xml:space="preserve">DGMX1 3 PB AW B 40  </t>
  </si>
  <si>
    <t xml:space="preserve">DGMX2 3 PAL RH B 40  </t>
  </si>
  <si>
    <t>DGMDC-3-Y-AM-41</t>
  </si>
  <si>
    <t>DGMC-3-AT-BH-41</t>
  </si>
  <si>
    <t xml:space="preserve">DGMX1 3 PB CW B 40  </t>
  </si>
  <si>
    <t xml:space="preserve">DGMX2 3 PP AK S 40  </t>
  </si>
  <si>
    <t xml:space="preserve">DGMX1 3 PP BW S 40  </t>
  </si>
  <si>
    <t>DGMC2-3-AB-BH-BA-BH-41</t>
  </si>
  <si>
    <t xml:space="preserve">DGMX1-3-PA-FW-B-40  </t>
  </si>
  <si>
    <t xml:space="preserve">DGMX2-3-PP-BH-S-40  </t>
  </si>
  <si>
    <t xml:space="preserve">DGMX1 3 PA CW B 40  </t>
  </si>
  <si>
    <t>DGMC2-3-AT-BH-BT-BH-41</t>
  </si>
  <si>
    <t>DGMC2-3-AT-GW-BT-CW-41</t>
  </si>
  <si>
    <t>DGMC2-3-AT-CW-BT-BW-41</t>
  </si>
  <si>
    <t>DGMC2-3-AT-BW-BT-CW-41</t>
  </si>
  <si>
    <t>DGMDC-3-Y-BL-41</t>
  </si>
  <si>
    <t>DGMC-3-AT-BK-S-41</t>
  </si>
  <si>
    <t>DGMPC-3-D-ABM-41</t>
  </si>
  <si>
    <t>DGMPC-3-D-ABM-D-BAM-41</t>
  </si>
  <si>
    <t>DGMC-3-PT-AH-41</t>
  </si>
  <si>
    <t>DGMC-3-AT-BW-B-41</t>
  </si>
  <si>
    <t xml:space="preserve">DGMX2-3-PAL-FW-B-40  </t>
  </si>
  <si>
    <t>DGMC-3-AT-BW-S-41</t>
  </si>
  <si>
    <t>DGMC-3-AT-GH-41</t>
  </si>
  <si>
    <t xml:space="preserve">DGMX1 3 PA AW B 40  </t>
  </si>
  <si>
    <t>DGMC2-3-AB-CH-BA-CH-41</t>
  </si>
  <si>
    <t xml:space="preserve">DGMX1 3 PP CK B 40  </t>
  </si>
  <si>
    <t>DGMPC-3-D-ABN-41</t>
  </si>
  <si>
    <t xml:space="preserve">DGMX2 3 PBL BW B 40  </t>
  </si>
  <si>
    <t xml:space="preserve">DGMX2-3-PAL-CW-B-40  </t>
  </si>
  <si>
    <t xml:space="preserve">DGMX1-3-PA-BW-S-40  </t>
  </si>
  <si>
    <t xml:space="preserve">DGMX1 3 PP BH B 40  </t>
  </si>
  <si>
    <t xml:space="preserve">DGMX2-3-PA-RH-B-40  </t>
  </si>
  <si>
    <t>DGMC-3-AT-GW-S-41</t>
  </si>
  <si>
    <t>DGMPC-3-D-BAM-41</t>
  </si>
  <si>
    <t xml:space="preserve">DGMX2-3-PBL-AW-S-40  </t>
  </si>
  <si>
    <t>DGMC-3-BT-CH-41</t>
  </si>
  <si>
    <t xml:space="preserve">DGMX2-3-PP-RH-B-40  </t>
  </si>
  <si>
    <t xml:space="preserve">DGMX2-3-PAL-CH-B-40  </t>
  </si>
  <si>
    <t xml:space="preserve">DGMX1-3-PP-RH-B-40  </t>
  </si>
  <si>
    <t xml:space="preserve">DGMX2-3-PPL-FH-B-40  </t>
  </si>
  <si>
    <t xml:space="preserve">DGMX1-3-PB-AK-B-40  </t>
  </si>
  <si>
    <t xml:space="preserve">DGMX3-3-PA-BW-B-40  </t>
  </si>
  <si>
    <t xml:space="preserve">DGMX1-3-PB-FW-B-40  </t>
  </si>
  <si>
    <t>DGMPC-3-ABK-BAK-41</t>
  </si>
  <si>
    <t>DGMFN-3-Y-A1W-B1W-41</t>
  </si>
  <si>
    <t>DGMFN-3-Y-A2W-B2W-41</t>
  </si>
  <si>
    <t>DGMFN-3-X-A1W-B1W-41</t>
  </si>
  <si>
    <t>DGMFN-3-X-A2W-B2W-41</t>
  </si>
  <si>
    <t>DGMDC-3-Y-PK-41</t>
  </si>
  <si>
    <t>DGMDC-3-X-TK-41</t>
  </si>
  <si>
    <t>DGMC-3-PT-CW-41</t>
  </si>
  <si>
    <t xml:space="preserve">PLUG 3/8 BSP  </t>
  </si>
  <si>
    <t>DGMC2-3-AB-BW-BA-BW-41</t>
  </si>
  <si>
    <t>DGMC2-3-AB-CW-BA-CW-41</t>
  </si>
  <si>
    <t>DGMDC-3-X-AK-41</t>
  </si>
  <si>
    <t>DGMDC-3-X-BK-41</t>
  </si>
  <si>
    <t>DGMDC-3-Y-AK-41</t>
  </si>
  <si>
    <t>DGMDC-3-Y-BK-41</t>
  </si>
  <si>
    <t>DGMC-3-PT-BW-41</t>
  </si>
  <si>
    <t>DGMC-3-PT-GW-41</t>
  </si>
  <si>
    <t xml:space="preserve">DGMX2 3 PA AW B 40  </t>
  </si>
  <si>
    <t xml:space="preserve">DGMX2 3 PA AW S 40  </t>
  </si>
  <si>
    <t xml:space="preserve">DGMX2 3 PP AW B 40  </t>
  </si>
  <si>
    <t xml:space="preserve">DGMX2 3 PP AW S 40  </t>
  </si>
  <si>
    <t>DGMPC-3-BAK-41</t>
  </si>
  <si>
    <t>DGMPC-3-ABK-41</t>
  </si>
  <si>
    <t>DGMDC-3-X-TM-41</t>
  </si>
  <si>
    <t xml:space="preserve">DGMX2 3 PA BW B 40  </t>
  </si>
  <si>
    <t xml:space="preserve">DGMX2 3 PA CW B 40  </t>
  </si>
  <si>
    <t xml:space="preserve">DGMX2 3 PA FW B 40  </t>
  </si>
  <si>
    <t xml:space="preserve">DGMX2 3 PA BW S 40  </t>
  </si>
  <si>
    <t xml:space="preserve">DGMX2 3 PP BW B 40  </t>
  </si>
  <si>
    <t xml:space="preserve">DGMX2 3 PP CW B 40  </t>
  </si>
  <si>
    <t xml:space="preserve">DGMX2 3 PP FW B 40  </t>
  </si>
  <si>
    <t xml:space="preserve">DGMX2 3 PP BW S 40  </t>
  </si>
  <si>
    <t xml:space="preserve">DGMX2 3 PP CW S 40  </t>
  </si>
  <si>
    <t>DGMFN-3-Z-P1W-41</t>
  </si>
  <si>
    <t>DGMFN-3-Z-T1W-41</t>
  </si>
  <si>
    <t>DGMFN-3-Z-P2W-41</t>
  </si>
  <si>
    <t>DGMFN-3-Z-T2W-41</t>
  </si>
  <si>
    <t xml:space="preserve">DGMX2 3 PB AW B 40  </t>
  </si>
  <si>
    <t xml:space="preserve">DGMX2 3 PB BW B 40  </t>
  </si>
  <si>
    <t xml:space="preserve">DGMX2 3 PB BW S 40  </t>
  </si>
  <si>
    <t xml:space="preserve">DGMX2 3 PB CW S 40  </t>
  </si>
  <si>
    <t>DGMC2-3-AT-CW-BT-CW-41</t>
  </si>
  <si>
    <t xml:space="preserve">DGMX2 3 PB FW B 40  </t>
  </si>
  <si>
    <t>DGMC-3-PT-CW-B-41</t>
  </si>
  <si>
    <t>DGMFN-3-X-B2W-41</t>
  </si>
  <si>
    <t>DGMC-3-PT-GW-B-41</t>
  </si>
  <si>
    <t>DGMC-3-AB-CW-41</t>
  </si>
  <si>
    <t>DGMC-3-BA-BW-41</t>
  </si>
  <si>
    <t>DGMC-3-BA-GW-41</t>
  </si>
  <si>
    <t>DGMC-3-BT-CW-41</t>
  </si>
  <si>
    <t>DGMDC-3-X-BM-41</t>
  </si>
  <si>
    <t xml:space="preserve">DGMX2 3 PPL CW B 40  </t>
  </si>
  <si>
    <t xml:space="preserve">DGMX2 3 PA CW S 40  </t>
  </si>
  <si>
    <t xml:space="preserve">DGMX2 3 PB CW B 40  </t>
  </si>
  <si>
    <t xml:space="preserve">DGMX2 3 PP FW S 40  </t>
  </si>
  <si>
    <t>DGMDC-3-X-BN-41</t>
  </si>
  <si>
    <t>DGMC2-3-AT-BW-BT-BW-41</t>
  </si>
  <si>
    <t>DGMC2-3-AT-GW-BT-GW-41</t>
  </si>
  <si>
    <t>DGMC-3-BT-AW-41</t>
  </si>
  <si>
    <t>DGMC2-3-AB-GW-BA-GW-41</t>
  </si>
  <si>
    <t>DGMPC-3-D-ABK-D-BAK-41</t>
  </si>
  <si>
    <t>DGMFN-3-Y-B1W-41</t>
  </si>
  <si>
    <t>DGMC-3-PT-CK-41</t>
  </si>
  <si>
    <t>DGMX2-3-PA-CK-B-40</t>
  </si>
  <si>
    <t>DGMC-3-PT-BK-B-41</t>
  </si>
  <si>
    <t>DGMC-3-PT-BK-41</t>
  </si>
  <si>
    <t>DGMFN-3-Y-A2K-B2K-41</t>
  </si>
  <si>
    <t>DGMDC-3-Y-PL-41</t>
  </si>
  <si>
    <t>DGMC-3-PT-GK-41</t>
  </si>
  <si>
    <t>DGMC-3-BA-CK-41</t>
  </si>
  <si>
    <t xml:space="preserve">DGMX3 3 PP BW B 40  </t>
  </si>
  <si>
    <t xml:space="preserve">DGMX3 3 PP FW B 40  </t>
  </si>
  <si>
    <t xml:space="preserve">DGMX3 3 PPL CW B 40  </t>
  </si>
  <si>
    <t>DGMC-3-AT-CK-S-41</t>
  </si>
  <si>
    <t xml:space="preserve">DGMX3 3 PP AW B 40  </t>
  </si>
  <si>
    <t xml:space="preserve">DGMX3-3-PP-FW-S-40  </t>
  </si>
  <si>
    <t xml:space="preserve">DGMX3-3-PB-CW-B-40  </t>
  </si>
  <si>
    <t xml:space="preserve">DGMX3-3-PP-YW-B-40  </t>
  </si>
  <si>
    <t>DG4V-5-56BLJ-M-U-H6-20</t>
  </si>
  <si>
    <t>DG4V-5-561CJ-M-U-H6-20</t>
  </si>
  <si>
    <t>DG4V-5-31B-M-U-C6-20</t>
  </si>
  <si>
    <t>DG4V-5-31CJ-M-U-G6-20</t>
  </si>
  <si>
    <t>DG4V-5-7B-M-U-C6-20</t>
  </si>
  <si>
    <t>DG4V-5-22A-VM-U-C6-20</t>
  </si>
  <si>
    <t>DG4V-5-0CJ-H-M-U-H6-20</t>
  </si>
  <si>
    <t>DG4V-5-3C-M-U-NN6-20</t>
  </si>
  <si>
    <t>DG4V-5-3CJ-H-M-U-H6-20</t>
  </si>
  <si>
    <t>DG4V-5-2AJ-VM-U-H6-20-J12</t>
  </si>
  <si>
    <t>DG4V-5-6CJ-M-U-HL6-20</t>
  </si>
  <si>
    <t>DG4V-5-2N-VM-U-EH6-20</t>
  </si>
  <si>
    <t>DG4V-5-0BJ-M-U-P6-20</t>
  </si>
  <si>
    <t>DG4V-5-0B-M-U-EH6-20</t>
  </si>
  <si>
    <t>DG4V-5-22AJ-Z-VM-U-H6-20</t>
  </si>
  <si>
    <t>DG4V-5-24ALJ-M-U-H6-20</t>
  </si>
  <si>
    <t>DG4V-5-2ALJ-M-U-HL6-20</t>
  </si>
  <si>
    <t>DG4V-5-6CJ-H-VM-U-H6-20</t>
  </si>
  <si>
    <t>DG4V-5-2AL-VM-U-EK6-20</t>
  </si>
  <si>
    <t>DG4V-5-6CJ-Z-M-U-H6-20</t>
  </si>
  <si>
    <t>DG4V-5-0CJ-M-U-H6-20-J06</t>
  </si>
  <si>
    <t>DG4V-5-22A-H-M-U-EK6-20</t>
  </si>
  <si>
    <t>DG4V-5-6CJ-VM-U-H6-20-J06</t>
  </si>
  <si>
    <t>DG4V-5-2B-VM-U-A6-20</t>
  </si>
  <si>
    <t>DG4V-5-2AJ-M-U-H6-20-J06</t>
  </si>
  <si>
    <t>DG4V-5-0CJ-M-U-G6-20-J99</t>
  </si>
  <si>
    <t>DG4V-5-7BLJ-M-U-HL6-20</t>
  </si>
  <si>
    <t>DG4V-5-13CJ-M-U-H6-20</t>
  </si>
  <si>
    <t>DG4V-5-52CJ-M-KUP6D2-G6-20</t>
  </si>
  <si>
    <t>DG4V-5-2AJ-H-M-U-G6-20</t>
  </si>
  <si>
    <t>DG4V-5-2AJ-M-U-EO6-20</t>
  </si>
  <si>
    <t>DG4V-5-0A-M-KUP6D2-H6-20</t>
  </si>
  <si>
    <t>DG4V-5-2CJ-M-U-H6-20-J06</t>
  </si>
  <si>
    <t>DG4V-5-6C-M-U-A6-20-J99</t>
  </si>
  <si>
    <t>DG4V-5-6NJ-VN-U-HL6-20</t>
  </si>
  <si>
    <t>DG4V-5-11BJ-M-U-H6-20</t>
  </si>
  <si>
    <t>DG4V-5-8CJ-VM-U-P6-20-J06</t>
  </si>
  <si>
    <t>DG4V-5-1CJ-M-U-P6-20-J06</t>
  </si>
  <si>
    <t>DG4V-5-2CJ-VM-U-H6-20-J99</t>
  </si>
  <si>
    <t>F13-DG4V-5-2ALJ-M-U-H6-20</t>
  </si>
  <si>
    <t>DG4V-5-3CJ-M-U-H6-20-J06</t>
  </si>
  <si>
    <t>DG4V-5-6BLJ-VM-U-H6-20</t>
  </si>
  <si>
    <t>DG4V-5-0A-M-KUP6D2-G6-20</t>
  </si>
  <si>
    <t>DG4V-5-6CJ-VM-U-P6-20-J08</t>
  </si>
  <si>
    <t>DG4V-5-2CJ-M-KUP6D2-H6-20</t>
  </si>
  <si>
    <t>DG4V-5-6CJ-M-KUP6D2-H6-20</t>
  </si>
  <si>
    <t>DG4V-5-0BJ-M-U-H6-20-J10</t>
  </si>
  <si>
    <t>DG4V-5-2BJ-H-MU-H6-20</t>
  </si>
  <si>
    <t>DG4V-5-22NJ-M-U-H6-20</t>
  </si>
  <si>
    <t>DG4V-5-6CJ-M-KU-G6-20</t>
  </si>
  <si>
    <t>DG4V-5-31CJ-M-U-H6-20-J99</t>
  </si>
  <si>
    <t>DG4V 5 33CJ H VM U H6 20 J08</t>
  </si>
  <si>
    <t>DG4V-5-6CJ-M-KUP5-H6-20</t>
  </si>
  <si>
    <t>DG4V-5-0A-VM-KUP4-DS6-20-J06</t>
  </si>
  <si>
    <t>DG4V-5-8CJ-VM-KUP4-DS6-20-J06</t>
  </si>
  <si>
    <t>DG4V-5-7C-M-U-A6-20</t>
  </si>
  <si>
    <t>DG4V-5-2C-M-U-EK6-20</t>
  </si>
  <si>
    <t>DG4V-5-0B-M-U-EK6-20</t>
  </si>
  <si>
    <t>DG4V-5-2N-M-U-EK6-20</t>
  </si>
  <si>
    <t>DG4V-5-2BL-M-U-EK6-20</t>
  </si>
  <si>
    <t>DG4V-5-2BL-M-U-A6-20</t>
  </si>
  <si>
    <t>DG4V-5-31CJ-M-U-H6-20</t>
  </si>
  <si>
    <t>DG4V-5-7CJ-M-U-H6-20</t>
  </si>
  <si>
    <t>DG4V-5-0B-M-U-A6-20</t>
  </si>
  <si>
    <t>DG4V-5-6C-MU-EK6-20</t>
  </si>
  <si>
    <t>DG4V-5-52C-MU-A6-20</t>
  </si>
  <si>
    <t>DG4V-5-6NJ-M-U-H6-20</t>
  </si>
  <si>
    <t>DG4V-5-2NJ-VM-U-H6-20</t>
  </si>
  <si>
    <t>DG4V-5-0BJ-MU-H6-20</t>
  </si>
  <si>
    <t>DG4V-5-2B-MU-C6-20</t>
  </si>
  <si>
    <t>DG4V-5-22AJ-M-U-G6-20</t>
  </si>
  <si>
    <t>F13-DG4V-5-2AJ-M-U-H6-20</t>
  </si>
  <si>
    <t>F13-DG4V-5-2AJ-VM-U-H6-20</t>
  </si>
  <si>
    <t>F13-DG4V-5-3CJ-M-U-H6-20</t>
  </si>
  <si>
    <t>DG4V-5-0A-M-U-P6-20</t>
  </si>
  <si>
    <t>DG4V-5-6BJ-M-U-P6-20</t>
  </si>
  <si>
    <t>DG4V-5-561BJ-M-U-H6-20</t>
  </si>
  <si>
    <t>DG4V-5-2ALJ-VM-U-H6-20</t>
  </si>
  <si>
    <t>F13-DG4V-5-2CJ-M-U-H6-20</t>
  </si>
  <si>
    <t>F13-DG4V-5-6CJ-M-U-H6-20</t>
  </si>
  <si>
    <t>F13-DG4V-5-2NJ-M-U-H6-20</t>
  </si>
  <si>
    <t>DG4V-5-0BJ-VM-U-H6-20</t>
  </si>
  <si>
    <t>DG4V-5-31B-M-U-A6-20</t>
  </si>
  <si>
    <t>DG4V-5-22ALJ-M-U-H6-20</t>
  </si>
  <si>
    <t>DG4V-5-2C-M-U-KK6-20</t>
  </si>
  <si>
    <t>DG4V-5-1C-M-U-EK6-20</t>
  </si>
  <si>
    <t>DG4V-5-56CJ-VM-U-H6-20</t>
  </si>
  <si>
    <t>DG4V-5-2B-M-U-KK6-20</t>
  </si>
  <si>
    <t>DG4V-5-6CJ-H-M-U-H6-20</t>
  </si>
  <si>
    <t>DG4V-5-2AJ-H-M-U-H6-20</t>
  </si>
  <si>
    <t>DG4V-5-2CJ-M-U-HL6-20</t>
  </si>
  <si>
    <t>DG4V-5-2C-VM-U-EK6-20</t>
  </si>
  <si>
    <t>DG4V-5-6C-VM-U-EK6-20</t>
  </si>
  <si>
    <t>DG4V-5-8CJ-VM-U-KK6-20</t>
  </si>
  <si>
    <t>DG4V-5-24AJ-M-U-H6-20</t>
  </si>
  <si>
    <t>DG4V-5-7BJ-M-U-G6-20</t>
  </si>
  <si>
    <t>DG4V-5-11C-M-U-A6-20</t>
  </si>
  <si>
    <t>DG4V-5-6BJ-VM-U-H6-20</t>
  </si>
  <si>
    <t>DG4V-5-1BLJ-M-U-H6-20</t>
  </si>
  <si>
    <t>DG4V-5-1CJ-M-U-G6-20</t>
  </si>
  <si>
    <t>DG4V-5-2ALJ-H-M-U-H6-20</t>
  </si>
  <si>
    <t>COIL - DC 28 V DC AMP CONNECTOR (DS)</t>
  </si>
  <si>
    <t>DG4V-5-8CJ-VM-KUP5-G6-20</t>
  </si>
  <si>
    <t>DG4V-5-2AJ-M-U-H6-20</t>
  </si>
  <si>
    <t>DG4V-5-2A-M-U-A6-20</t>
  </si>
  <si>
    <t>DG4V-5-2AJ-M-U-G6-20</t>
  </si>
  <si>
    <t>DG4V-5-2A-M-U-C6-20</t>
  </si>
  <si>
    <t>DG4V-5-2NJ-M-U-H6-20</t>
  </si>
  <si>
    <t>DG4V-5-2N-M-U-A6-20</t>
  </si>
  <si>
    <t>DG4V-5-2NJ-M-U-G6-20</t>
  </si>
  <si>
    <t>DG4V-5-2N-M-U-C6-20</t>
  </si>
  <si>
    <t>DG4V-5-2CJ-M-U-H6-20</t>
  </si>
  <si>
    <t>DG4V-5-2C-M-U-A6-20</t>
  </si>
  <si>
    <t>DG4V-5-2CJ-M-U-G6-20</t>
  </si>
  <si>
    <t>DG4V-5-2C-M-U-C6-20</t>
  </si>
  <si>
    <t>DG4V-5-6CJ-M-U-H6-20</t>
  </si>
  <si>
    <t>DG4V-5-6C-M-U-A6-20</t>
  </si>
  <si>
    <t>DG4V-5-6CJ-M-U-G6-20</t>
  </si>
  <si>
    <t>DG4V-5-6C-M-U-C6-20</t>
  </si>
  <si>
    <t>DG4V-5-8CJ-VM-U-H6-20</t>
  </si>
  <si>
    <t>DG4V-5-8CJ-VM-U-A6-20</t>
  </si>
  <si>
    <t>DG4V-5-8CJ-VM-U-G6-20</t>
  </si>
  <si>
    <t>DG4V-5-8CJ-VM-U-C6-20</t>
  </si>
  <si>
    <t>DG4V-5-0CJ-M-U-H6-20</t>
  </si>
  <si>
    <t>DG4V-5-0C-M-U-A6-20</t>
  </si>
  <si>
    <t>DG4V-5-0CJ-M-U-G6-20</t>
  </si>
  <si>
    <t>DG4V-5-0C-M-U-C6-20</t>
  </si>
  <si>
    <t>DG4V-5-2AJ-M-U1-H6-20</t>
  </si>
  <si>
    <t>DG4V-5-2AL-M-U-A6-20</t>
  </si>
  <si>
    <t>DG4V-5-0A-M-U-C6-20</t>
  </si>
  <si>
    <t>DG4V-5-2B-M-U-A6-20</t>
  </si>
  <si>
    <t>DG4V-5-22A-M-U-A6-20</t>
  </si>
  <si>
    <t>DG4V-5-0A-M-U-A6-20</t>
  </si>
  <si>
    <t>DG4V-5-33C-M-U-A6-20</t>
  </si>
  <si>
    <t>DG4V-5-0A-M-U-H6-20</t>
  </si>
  <si>
    <t>DG4V-5-0A-M-U-G6-20</t>
  </si>
  <si>
    <t>DG4V-5-22AJ-M-U-H6-20</t>
  </si>
  <si>
    <t>DG4V-5-33CJ-M-U-H6-20</t>
  </si>
  <si>
    <t>DG4V-5-3CJ-M-U-H6-20</t>
  </si>
  <si>
    <t>DG4V-5-56CJ-M-U-H6-20</t>
  </si>
  <si>
    <t>DG4V-5-1CJ-M-U-H6-20</t>
  </si>
  <si>
    <t>DG4V-5-33C-M-U-C6-20</t>
  </si>
  <si>
    <t>DG4V-5-3C-MU-C6-20</t>
  </si>
  <si>
    <t>DG4V-5-2BLJ-VMU-H6-20</t>
  </si>
  <si>
    <t>DG4V-5-2AJ-VMU-H6-20</t>
  </si>
  <si>
    <t>DG4V-5-2CJ-VMU-H6-20</t>
  </si>
  <si>
    <t>DG4V-5-6CJ-VMU-H6-20</t>
  </si>
  <si>
    <t>DG4V-5-33CJ-VM-U-H6-20</t>
  </si>
  <si>
    <t>DG4V-5-2BJ-VM-U-H6-20</t>
  </si>
  <si>
    <t>DG4V-5-52CJ-MU-H6-20</t>
  </si>
  <si>
    <t>DG4V-5-2BJ-MU-H6-20</t>
  </si>
  <si>
    <t>DG4V-5-7BJ-MU-H6-20</t>
  </si>
  <si>
    <t>DG4V-5-521CJ-MU-H6-20</t>
  </si>
  <si>
    <t>DG4V-5-6BJ-MU-H6-20</t>
  </si>
  <si>
    <t>DG4V-5-6BL-MU-A6-20</t>
  </si>
  <si>
    <t>DG4V-5-3C-MU-A6-20</t>
  </si>
  <si>
    <t>DG4V-5-2A-M-U-EK6-20</t>
  </si>
  <si>
    <t>DG4V-5-52C-M-U-C6-20</t>
  </si>
  <si>
    <t>DG4V-5-2AL-M-U-C6-20</t>
  </si>
  <si>
    <t>DG4V-5-0BL-MU-A6-20</t>
  </si>
  <si>
    <t>DG4V-5-2CJ-H-M-U-H6-20</t>
  </si>
  <si>
    <t>DG4V-5-2NJ-H-M-U-H6-20</t>
  </si>
  <si>
    <t>DG4V-5-6B-MU-C6-20</t>
  </si>
  <si>
    <t>DG4V-5-6C-MU-ED6-20</t>
  </si>
  <si>
    <t>DG4V-5-2C-MU-ED6-20</t>
  </si>
  <si>
    <t>DG4V-5-521BJ-MU-H-6-20</t>
  </si>
  <si>
    <t>DG4V-5-0BLJ-MU-G6-20</t>
  </si>
  <si>
    <t>DG4V-5-2ALJ-M-U-G6-20</t>
  </si>
  <si>
    <t>DG4V-5-33C-M-U-EH6-20</t>
  </si>
  <si>
    <t>DG4V-5-31BJ-MU-H6-20</t>
  </si>
  <si>
    <t>DG4V-5-2BL-MU-C6-20</t>
  </si>
  <si>
    <t>DG4V-5-8CJ-VM-U-EK6-20</t>
  </si>
  <si>
    <t>DG4V-5-2B-MU-EK6-20</t>
  </si>
  <si>
    <t>DG4V-5-0C-M-U-EH6-20</t>
  </si>
  <si>
    <t>DG4V-5-8CJ-VM-U-EH6-20</t>
  </si>
  <si>
    <t>DG4V-5-2ALJ-M-U-H6-20</t>
  </si>
  <si>
    <t>DG4V-5-2AJ-M-U-P6-20</t>
  </si>
  <si>
    <t>DG4V-5-2NJ-M-U-P6-20</t>
  </si>
  <si>
    <t>DG4V-5-2C-VM-U-C6-20</t>
  </si>
  <si>
    <t>DG4V-5-3BL-M-U-A6-20</t>
  </si>
  <si>
    <t>DG4V-5-8CJ-VM-U-P6-20</t>
  </si>
  <si>
    <t>DG4V-5-2A-VM-U-A6-20</t>
  </si>
  <si>
    <t>DG4V-5-2N-VM-U-A6-20</t>
  </si>
  <si>
    <t>DG4V-5-31C-M-U-C6-20</t>
  </si>
  <si>
    <t>DG4V-5-2CJ-M-U-P6-20</t>
  </si>
  <si>
    <t>DG4V-5-6BL-M-U-C6-20</t>
  </si>
  <si>
    <t>DG4V-5-2C-VM-U-A6-20</t>
  </si>
  <si>
    <t>DG4V-5-2BJ-M-U-P6-20</t>
  </si>
  <si>
    <t>DG4V-5-0C-M-U-KK6-20</t>
  </si>
  <si>
    <t>DG4V-5-2A-M-U-KK6-20</t>
  </si>
  <si>
    <t>DG4V-5-33C-VM-U-A6-20</t>
  </si>
  <si>
    <t>DG4V-5-6C-M-U-KK6-20</t>
  </si>
  <si>
    <t>DG4V-5-2N-M-U-KK6-20</t>
  </si>
  <si>
    <t>DG4V-5-2AL-M-U-ED6-20</t>
  </si>
  <si>
    <t>DG4V-5-0AL-M-U-H6-20</t>
  </si>
  <si>
    <t>DG4V-5-52CJ-VM-U-H6-20</t>
  </si>
  <si>
    <t>DG4V-5-0A-M-U-ED6-20</t>
  </si>
  <si>
    <t>DG4V-5-2AJ-Z-M-U-H6-20</t>
  </si>
  <si>
    <t>DG4V-5-2AJ-M-S7-U-H6-20</t>
  </si>
  <si>
    <t>DG4V-5-2BJ-VM-S7-U-H6-20</t>
  </si>
  <si>
    <t>DG4V-5-2CJ-VM-KUP6D2-H6-20</t>
  </si>
  <si>
    <t>DG4V-5-11CJ-M-U-H6-20-J06</t>
  </si>
  <si>
    <t>DG4V-5-0AL-M-S7-U-H6-20</t>
  </si>
  <si>
    <t>F13-DG4V-5-6CJ-VM-U-H6-20</t>
  </si>
  <si>
    <t>DG4V-5-33CJ-M-U-EO6-20-J99</t>
  </si>
  <si>
    <t>DG4V-5-0A-M-S7-U-A6-20</t>
  </si>
  <si>
    <t>DG4V-5-33CJ-VM-U-EO6-20-J08</t>
  </si>
  <si>
    <t>DG4V-5-33CJ-H-VM-U-EO6-20-J08</t>
  </si>
  <si>
    <t>DG4V-5-8CJ-VM-U-EO6-20-J08</t>
  </si>
  <si>
    <t>DG4V-5-2AL-VM-U-A6-20</t>
  </si>
  <si>
    <t>DG4V-5-31BJ-VM-U-H6-20</t>
  </si>
  <si>
    <t>DG4V-5-2A-M-U1-EK6-20</t>
  </si>
  <si>
    <t>DG4V-5-3CJ-M-U-G6-20</t>
  </si>
  <si>
    <t>DG4V-5-0B-VM-U-EK6-20</t>
  </si>
  <si>
    <t>DG4V-5-2A-VMU-EK6-20</t>
  </si>
  <si>
    <t>DG4V-5-0B-M-U-KK6-20</t>
  </si>
  <si>
    <t>DG4V-5-0A-V-M-U-H6-20</t>
  </si>
  <si>
    <t>DG4V-5-52C-M-U-EH6-20</t>
  </si>
  <si>
    <t>DG4V-5-3BLJ-M-U-H6-20</t>
  </si>
  <si>
    <t>DG4V-5-52BLJ-M-U-H6-20</t>
  </si>
  <si>
    <t>DG4V-5-2A-M-U-EH6-20</t>
  </si>
  <si>
    <t>DG4V-5-11CJ-M-U-H6-20</t>
  </si>
  <si>
    <t>DG4V-5-2C-M-U-EH6-20</t>
  </si>
  <si>
    <t>DG4V-5-22AJ-VM-U-H6-20</t>
  </si>
  <si>
    <t>DG4V-5-0CJ-H-M-U-G6-20</t>
  </si>
  <si>
    <t>DG4V-5-0C-M-U-EK6-20</t>
  </si>
  <si>
    <t>DG4V-5-1C-M-U-C6-20</t>
  </si>
  <si>
    <t>DG4V-5-0C-M-U-ED6-20</t>
  </si>
  <si>
    <t>DG4V-5-8CJ-VM-U-ED6-20</t>
  </si>
  <si>
    <t>DG4V-5-2A-M-U-ED6-20</t>
  </si>
  <si>
    <t>DG4V-5-0B-M-U-ED6-20</t>
  </si>
  <si>
    <t>DG4V-5-2N-M-U-ED6-20</t>
  </si>
  <si>
    <t>DG4V-5-7C-M-U-ED6-20</t>
  </si>
  <si>
    <t>DG4V-5-2N-VM-U-C6-20</t>
  </si>
  <si>
    <t>DG4V-5-6C-VM-U-C6-20</t>
  </si>
  <si>
    <t>DG4V-5-0AL-M-U-A6-20</t>
  </si>
  <si>
    <t>DG4V-5-7C-M-U-C6-20</t>
  </si>
  <si>
    <t>DG4V-5-6CJ-M-U-OJ6-20</t>
  </si>
  <si>
    <t>DG4V-5-3B-M-U-C6-20</t>
  </si>
  <si>
    <t>DG4V-5-1C-M-U-A6-20</t>
  </si>
  <si>
    <t>DG4V-5-6B-M-U-A6-20</t>
  </si>
  <si>
    <t>DG4V-5-6C-M-U-EH6-20</t>
  </si>
  <si>
    <t>DG4V-5-31C-M-U-A6-20</t>
  </si>
  <si>
    <t>DG4V-5-3BJ-M-U-H6-20</t>
  </si>
  <si>
    <t>DG4V-5-11C-M-U-C6-20</t>
  </si>
  <si>
    <t>DG4V-5-6CJ-M-U-P6-20</t>
  </si>
  <si>
    <t>DG4V-5-0CJ-VM-U-H6-20</t>
  </si>
  <si>
    <t>DG4V-5-2AL-M-U-EH6-20</t>
  </si>
  <si>
    <t>DG4V-5-23AJ-Z-M-U-H6-20</t>
  </si>
  <si>
    <t>DG4V-5-6B-M-U-EK6-20</t>
  </si>
  <si>
    <t>DG4V-5-33C-M-U-EK6-20</t>
  </si>
  <si>
    <t>DG4V-5-22AL-M-U-EK6-20</t>
  </si>
  <si>
    <t>DG4V-5-2N-M-U-EH6-20</t>
  </si>
  <si>
    <t>DG4V-5-6C-VM-U-A6-20</t>
  </si>
  <si>
    <t>DG4V-5-7BLJ-MU-H6-20</t>
  </si>
  <si>
    <t>DG4V-5-3C-MU-EK-6-20</t>
  </si>
  <si>
    <t>DG4V-5-2AL-MU-EK6-20</t>
  </si>
  <si>
    <t>DG4V-5-0A-MU-EK6-20</t>
  </si>
  <si>
    <t>DG4V-5-2ALJ-M-U-P6-20</t>
  </si>
  <si>
    <t>DG4V-5-7C-M-U-EK6-20</t>
  </si>
  <si>
    <t>DG4V-5-0AL-M-U-C6-20</t>
  </si>
  <si>
    <t>DG4V-5-2AJ-M-U-OJ6-20</t>
  </si>
  <si>
    <t>DG4V-5-2CJ-M-U-H6-20-J08</t>
  </si>
  <si>
    <t>DG4V-5-0A-H-M-U-H6-20</t>
  </si>
  <si>
    <t>DG4V-5-6CJ-M-U-H6-20-J12</t>
  </si>
  <si>
    <t>DG4V-5-2CJ-M-U-H6-20-J10</t>
  </si>
  <si>
    <t>DG4V-5-6CJ-M-U-H6-20-J08</t>
  </si>
  <si>
    <t>DG4V-5-0BLJ-M-U-H6-20-J06</t>
  </si>
  <si>
    <t>DG4V-5-2AJ-M-U-H6-20-J08</t>
  </si>
  <si>
    <t>DG4V-5-8CJ-VM-U-G6-20-J06</t>
  </si>
  <si>
    <t>DG4V-5-2CJ-M-U-H6-20-J99</t>
  </si>
  <si>
    <t>DG4V-5-6CJ-M-U-H6-20-J99</t>
  </si>
  <si>
    <t>DG4V-5-8CJ-VM-U-H6-20-J99</t>
  </si>
  <si>
    <t>DG4V-5-2AJ-M-U-H6-20-J99</t>
  </si>
  <si>
    <t>DG4V-5-0CJ-M-U-H6-20-J99</t>
  </si>
  <si>
    <t>DG4V-5-6CJ-M-U-H6-20-J06</t>
  </si>
  <si>
    <t>DG4V-5-8CJ-VM-U-H6-20-J06</t>
  </si>
  <si>
    <t>DG4V-5-33CJ-M-U-H6-20-J99</t>
  </si>
  <si>
    <t>DG4V-5-0BJ-M-U-H6-20-J99</t>
  </si>
  <si>
    <t>F13-DG4V-5-2BJ-M-U-H6-20</t>
  </si>
  <si>
    <t>DG4V-5-8BLJ-VM-U-H6-20-J99</t>
  </si>
  <si>
    <t>DG4V-5-8BJ-VM-U-H6-20-J99</t>
  </si>
  <si>
    <t>DG4V-5-2BJ-M-U-H6-20-J06</t>
  </si>
  <si>
    <t>DG4V-5-0A-M-U-H6-20-J06</t>
  </si>
  <si>
    <t>DG4V-5-8CJ-VM-U-H6-20-J08</t>
  </si>
  <si>
    <t>DG4V-5-0CJ-H-M-U-H6-20-J06</t>
  </si>
  <si>
    <t>DG4V-5-6CJ-M-U-G6-20-J99</t>
  </si>
  <si>
    <t>DG4V-5-0CJ-H-M-U-H6-20-J99</t>
  </si>
  <si>
    <t>DG4V-5-6CJ-VM-U-H6-20-J08</t>
  </si>
  <si>
    <t>F13-DG4V-5-2NJ-VM-U-H6-20</t>
  </si>
  <si>
    <t>DG4V-5-2AJ-VM-KUM5L-D3-H6-20</t>
  </si>
  <si>
    <t>DG4V-5-8BLJ-VM-KUP4-DS6-20-J06</t>
  </si>
  <si>
    <t>DG4V-5-8BLJ-VM-U-H6-20</t>
  </si>
  <si>
    <t>DG4V-5-0BJ-H-MU-H6-20</t>
  </si>
  <si>
    <t>DG4V-5-0B-M-U-C6-20</t>
  </si>
  <si>
    <t>DG4V-5-0BLJ-MU-H6-20</t>
  </si>
  <si>
    <t>DG4V-5-0BJ-M-U-G6-20</t>
  </si>
  <si>
    <t>DG4V-5-2BJ-MU-G6-20</t>
  </si>
  <si>
    <t>DG4V-5-6BLJ-MU-H6-20</t>
  </si>
  <si>
    <t>DG4V-5-0BLJ-H-MU-H6-20</t>
  </si>
  <si>
    <t>DG4V-5-8BJ-VMU-H6-20</t>
  </si>
  <si>
    <t>DG4V-5-2BLJ-M-U-H6-20</t>
  </si>
  <si>
    <t>DG4V-5-33BLJ-M-U-H6-20</t>
  </si>
  <si>
    <t>DG4V-5-7CJ-M-U-H6-20-J06</t>
  </si>
  <si>
    <t>DG4V-5-2AJ-VM-U-H6-20-J99</t>
  </si>
  <si>
    <t>DG4V-5-0A-VM-U-H6-20-J99</t>
  </si>
  <si>
    <t>DG4V-5-35AJ-Z-VM-S7-U-H6-20</t>
  </si>
  <si>
    <t>DG4V-5-0A-M-S7-U-H6-20</t>
  </si>
  <si>
    <t>DG4V-5-2ALJ-Z-M-S7-U-H6-20</t>
  </si>
  <si>
    <t>DG4V-5-22ALJ-M-S7-U-H6-20</t>
  </si>
  <si>
    <t>DG4V-5-0BJ-M-S7-U-H6-20</t>
  </si>
  <si>
    <t>DG4V-5-2BLJ-M-S7-U-H6-20</t>
  </si>
  <si>
    <t>DG4V-5-8CJ-H-VM-U-H6-20</t>
  </si>
  <si>
    <t>DG4V-5-2CJ-M-U-H6-20-J12</t>
  </si>
  <si>
    <t>DG4V-5-6BLJ-M-U-G6-20</t>
  </si>
  <si>
    <t>DG4V-5-2BLJ-M-U-G6-20</t>
  </si>
  <si>
    <t>DG4V-5-8BJ-VM-U-C6-20</t>
  </si>
  <si>
    <t>DG4V-5-6BJ-M-U-G6-20</t>
  </si>
  <si>
    <t>DG4V-5-8BLJ-VM-U-G6-20</t>
  </si>
  <si>
    <t>DG4V-5-8BJ-VM-U-A6-20</t>
  </si>
  <si>
    <t>DG4V-5-8BLJ-VM-U-A6-20</t>
  </si>
  <si>
    <t>DG4V-5-0BL-M-U-C6-20</t>
  </si>
  <si>
    <t xml:space="preserve">DGMS 3 1E 12R, ZINCPLATE </t>
  </si>
  <si>
    <t>CVU-16-SWD3-B29-L-10</t>
  </si>
  <si>
    <t>CVU-16-SWD3-B29-H-10</t>
  </si>
  <si>
    <t>CVGPC1-3-P-T-B-A-20</t>
  </si>
  <si>
    <t>CVGPC1-3-P3-T1-B-A-20</t>
  </si>
  <si>
    <t>CVI-40-ZDN105-H-10</t>
  </si>
  <si>
    <t>CVI-25-ZD105-L-10</t>
  </si>
  <si>
    <t>CVI-25-ZD105-M-10</t>
  </si>
  <si>
    <t>CVI-25-ZDN105-M-10</t>
  </si>
  <si>
    <t>CVI-25-ZD105-H-10</t>
  </si>
  <si>
    <t>CVI-32-ZD105-L-10</t>
  </si>
  <si>
    <t>CVI-32-ZDN105-L-10</t>
  </si>
  <si>
    <t>CVI-32-ZD105-M-10</t>
  </si>
  <si>
    <t>CVI-32-ZDN105-M-10</t>
  </si>
  <si>
    <t>CVI-32-ZD105-H-10</t>
  </si>
  <si>
    <t>CVI-40-ZD105-L-10</t>
  </si>
  <si>
    <t>CVI-50-ZD105-L-10</t>
  </si>
  <si>
    <t>CVU-32-EFP1-B29-70-31</t>
  </si>
  <si>
    <t>CVU-32-SWD3-B29-H-10</t>
  </si>
  <si>
    <t>CVU-32-ZSWD3-B29-H-10</t>
  </si>
  <si>
    <t>CVCS-40-HFV3-B29-10</t>
  </si>
  <si>
    <t>CVI-40-HFV-20-B-81-10</t>
  </si>
  <si>
    <t>CVI-40-HFV-20-A-90-10</t>
  </si>
  <si>
    <t>CVI-25-HFV-20-A-43-10</t>
  </si>
  <si>
    <t>SHUTTLE VALVE KIT CVC **B29</t>
  </si>
  <si>
    <t>CVI-32-HFV-20-A-63-10</t>
  </si>
  <si>
    <t>CVCS-63-ZDA3-B2-W-10</t>
  </si>
  <si>
    <t>CVI-63-HFV-20-B-216-10</t>
  </si>
  <si>
    <t>CVI-63-HFV-20-A-216-10</t>
  </si>
  <si>
    <t>CVI-40-ZD105-M-10</t>
  </si>
  <si>
    <t>CVI-50-ZD105-M-10</t>
  </si>
  <si>
    <t xml:space="preserve">CVU 32 SWD3 B29 L 10  </t>
  </si>
  <si>
    <t>CVU-32-SWD3-B29-M-10</t>
  </si>
  <si>
    <t>CVU-32-ZSWD3-B29-M-10</t>
  </si>
  <si>
    <t>CVCS-40-ZD3-B29-10</t>
  </si>
  <si>
    <t>CVCS-50-HFV3-B2-10</t>
  </si>
  <si>
    <t>CVI-63-ZDN105-H-10</t>
  </si>
  <si>
    <t>CVGCPAV-3W250-10</t>
  </si>
  <si>
    <t>CVU-25-SWD3-B29-H-10-AP99-Z108</t>
  </si>
  <si>
    <t>CVU 32 SWD3 B29 H 10 AP99 Z108</t>
  </si>
  <si>
    <t>CVU 40 SWD3 B29 H 10 AP99</t>
  </si>
  <si>
    <t>F3-CVCS-16-HFV3-W-B29-10</t>
  </si>
  <si>
    <t>F3-CVI-16-HFV-20-B-21-10</t>
  </si>
  <si>
    <t>CVU-16-SWD3-B29-L-10-EN106</t>
  </si>
  <si>
    <t xml:space="preserve">CVU-50-EPQ2-9-75-10  </t>
  </si>
  <si>
    <t>EN9 KIT FOR CARTRIDGE VALVE SIZE 16</t>
  </si>
  <si>
    <t>EN9 KIT FOR CARTRIDGE VALVE SIZE 25</t>
  </si>
  <si>
    <t>EN9 KIT FOR CARTRIDGE VALVE SIZE 32</t>
  </si>
  <si>
    <t>EN9 KIT FOR CARTRIDGE VALVE SIZE 40</t>
  </si>
  <si>
    <t>EN9 KIT FOR CARTRIDGE VALVE SIZE 50</t>
  </si>
  <si>
    <t>F3 EN9 KIT FOR CARTRIDGEVALVE SIZE 16</t>
  </si>
  <si>
    <t>F3 EN9 KIT FOR CARTRIDGEVALVE SIZE 25</t>
  </si>
  <si>
    <t>F3 EN9 KIT FOR CARTRIDGEVALVE SIZE 32</t>
  </si>
  <si>
    <t>F3 EN9 KIT FOR CARTRIDGEVALVE SIZE 40</t>
  </si>
  <si>
    <t>CVI-40-D10-H-50-EN106</t>
  </si>
  <si>
    <t>SEAL KIT (F3)  INSERT ASSEMBLY - NG40</t>
  </si>
  <si>
    <t>INTERFACE SEAL KIT-NG63 COVER</t>
  </si>
  <si>
    <t>CVGCPA-3W350-10</t>
  </si>
  <si>
    <t>CVGCPA-3W250-10</t>
  </si>
  <si>
    <t>CVU-40-EFP1-B29-90-31</t>
  </si>
  <si>
    <t>CVU-16-EFP1-B29-19-31</t>
  </si>
  <si>
    <t>CVU-25-EFP1-B29-45-31</t>
  </si>
  <si>
    <t>CVI-40-X2-50-EN110</t>
  </si>
  <si>
    <t>CVCS-40-D3-20-AP199-AP299-A00-B14</t>
  </si>
  <si>
    <t>CVI-16-U-50-EN106</t>
  </si>
  <si>
    <t xml:space="preserve">PROTECTION CAP  </t>
  </si>
  <si>
    <t>NG25 SEALING PARTS COVERSTD</t>
  </si>
  <si>
    <t>CVCS-25-B-20</t>
  </si>
  <si>
    <t>CVCS-25-N-20</t>
  </si>
  <si>
    <t>CVCS-40-N-20</t>
  </si>
  <si>
    <t>CVCS-25-C-W-20</t>
  </si>
  <si>
    <t>CVCS-25-C3-W-20</t>
  </si>
  <si>
    <t>CVCS-25-U-W-250-20</t>
  </si>
  <si>
    <t>CVCS-32-N-20</t>
  </si>
  <si>
    <t>CVCS-16-N-20</t>
  </si>
  <si>
    <t>CVCS-25-U-W-350-20</t>
  </si>
  <si>
    <t>CVCS-16-D3-20</t>
  </si>
  <si>
    <t>CVCS-25-D3-20</t>
  </si>
  <si>
    <t>CVCS-25-C-W-125-20</t>
  </si>
  <si>
    <t>CVCS-16-C3-W-250-20</t>
  </si>
  <si>
    <t>CVCS-25-C3-W-250-20</t>
  </si>
  <si>
    <t>CVCS-25-A-W-20</t>
  </si>
  <si>
    <t>CVCS-32-B-20</t>
  </si>
  <si>
    <t>CVCS-25-W-20</t>
  </si>
  <si>
    <t>CVCS-25-W13-20</t>
  </si>
  <si>
    <t>CVCS-40-D3-20</t>
  </si>
  <si>
    <t>CVCS-25-PC-20</t>
  </si>
  <si>
    <t>CVCS-16-C3-W-350-20</t>
  </si>
  <si>
    <t>CVCS-25-C-W-250-20</t>
  </si>
  <si>
    <t>CVCS-32-D3-20</t>
  </si>
  <si>
    <t>CVCS-40-C3-W-350-20</t>
  </si>
  <si>
    <t>CVCS-25-C3-M-350-20</t>
  </si>
  <si>
    <t>CVCS-40-A-W-20</t>
  </si>
  <si>
    <t>CVCS-16-W13-20</t>
  </si>
  <si>
    <t>CVCS-16-C-W-350-20</t>
  </si>
  <si>
    <t>CVCS-40-X-W-125-20</t>
  </si>
  <si>
    <t>CVCS-16-C3-W-125-20</t>
  </si>
  <si>
    <t>CVCS-25-U3-W-250-20</t>
  </si>
  <si>
    <t>CVCS-40-C3-W-250-20</t>
  </si>
  <si>
    <t>CVCS-16-U3-W-250-20</t>
  </si>
  <si>
    <t>CVCS-40-W13-20</t>
  </si>
  <si>
    <t>CVCS-16-U3-W-350-20</t>
  </si>
  <si>
    <t>CVCS-32-C3-W-350-20</t>
  </si>
  <si>
    <t>CVCS-25-A3-W-20</t>
  </si>
  <si>
    <t>CVCS-16-W-20</t>
  </si>
  <si>
    <t>CVCS-16-C-W-125-20</t>
  </si>
  <si>
    <t>CVCS-16-C-W-250-20</t>
  </si>
  <si>
    <t>CVCS-16-PC-20</t>
  </si>
  <si>
    <t>CVCS-32-W-20</t>
  </si>
  <si>
    <t>CVCS-16-U-W-350-20</t>
  </si>
  <si>
    <t>CVCS-25-X-W-250-20</t>
  </si>
  <si>
    <t>CVCS-40-C3-W-125-20</t>
  </si>
  <si>
    <t>CVCS-40-W-20</t>
  </si>
  <si>
    <t>CVCS-32-C3-W-250-20</t>
  </si>
  <si>
    <t>CVCS-16-C-K-125-20</t>
  </si>
  <si>
    <t>CVCS-16-U-W-250-20</t>
  </si>
  <si>
    <t>CVCS-32-W13-20</t>
  </si>
  <si>
    <t>CVCS-32-A-W-20</t>
  </si>
  <si>
    <t>CVCS-40-PC-20</t>
  </si>
  <si>
    <t>CVCS-32-PC-20</t>
  </si>
  <si>
    <t>CVCS-40-C-W-125-20</t>
  </si>
  <si>
    <t>CVCS-25-C3-W-125-20</t>
  </si>
  <si>
    <t>CVCS-32-C3-W-250-20-AP10</t>
  </si>
  <si>
    <t>CVCS-25-X-W-125-20</t>
  </si>
  <si>
    <t>CVCS-32-U3-W-250-20</t>
  </si>
  <si>
    <t>CVCS-32-A3-W-20-NC</t>
  </si>
  <si>
    <t>F3-CVCS-16-C3-W-250-20</t>
  </si>
  <si>
    <t>CVCS-40-A3-W-20</t>
  </si>
  <si>
    <t>CVCS-25-X-W-350-20</t>
  </si>
  <si>
    <t>CVCS-25-A3-W-20-NC</t>
  </si>
  <si>
    <t>CVCS-16-U-W-125-20</t>
  </si>
  <si>
    <t>CVCS-40-C-W-250-20</t>
  </si>
  <si>
    <t>CVCS-32-C-W-350-20</t>
  </si>
  <si>
    <t>CVCS-25-N-20-X99</t>
  </si>
  <si>
    <t>CVCS-32-C3-W-125-20</t>
  </si>
  <si>
    <t>CVCS-32-U3-W-125-20</t>
  </si>
  <si>
    <t>CVCS-32-X3-W-250-20</t>
  </si>
  <si>
    <t>CVCS-40-C-W-350-20</t>
  </si>
  <si>
    <t>CVCS-16-X3-W-350-20</t>
  </si>
  <si>
    <t>CVCS-25-U-W-250-20-AP15</t>
  </si>
  <si>
    <t>CVCS-25-D3-20-Z100-Z200-A99</t>
  </si>
  <si>
    <t>CVCS-16-C3-W-250-20-X10</t>
  </si>
  <si>
    <t>CVCS-40-X3-W-250-20</t>
  </si>
  <si>
    <t>CVCS-40-B-20</t>
  </si>
  <si>
    <t>CVCS-32-A3-W-20</t>
  </si>
  <si>
    <t>CVCS-32-C-W-125-20</t>
  </si>
  <si>
    <t>CVCS-40-OD-20</t>
  </si>
  <si>
    <t>CVCS-40-U3-W-250-20</t>
  </si>
  <si>
    <t>CVCS-32-U-W-125-20</t>
  </si>
  <si>
    <t>CVCS-25-X3-W-250-20</t>
  </si>
  <si>
    <t>CVCS-25-X3-W-350-20</t>
  </si>
  <si>
    <t>CVCS-32-C-W-250-20</t>
  </si>
  <si>
    <t>CVCS-32-N-20-X99</t>
  </si>
  <si>
    <t>F3-CVCS-40-PC-20</t>
  </si>
  <si>
    <t>CVCS-16-X3-W-250-20</t>
  </si>
  <si>
    <t>CVCS-16-C025-20</t>
  </si>
  <si>
    <t>CVCS-16-X3-W-125-20</t>
  </si>
  <si>
    <t>CVCS-40-X-W-250-20</t>
  </si>
  <si>
    <t>CVCS-32-X3-W-350-20</t>
  </si>
  <si>
    <t>CVCS-40-N-20-X99</t>
  </si>
  <si>
    <t>CVCS-32-X-W-350-20</t>
  </si>
  <si>
    <t>CVCS-40-X3-W-350-20</t>
  </si>
  <si>
    <t>CVCS-16-X-W-250-20</t>
  </si>
  <si>
    <t>CVCS-16-X-W-125-20</t>
  </si>
  <si>
    <t>CVCS-32-D3-20-AP199</t>
  </si>
  <si>
    <t>CVCS-32-X-W-250-20</t>
  </si>
  <si>
    <t>CVCS-40-C3-W-350-20-AP10-X10</t>
  </si>
  <si>
    <t>CVCS-25-OD-20</t>
  </si>
  <si>
    <t>CVCS-25-W33-20</t>
  </si>
  <si>
    <t>CVCS-25-A3-M-20</t>
  </si>
  <si>
    <t>CVCS-40-D3-20-AP199-A10</t>
  </si>
  <si>
    <t>CVCS-16-U3-W-125-20</t>
  </si>
  <si>
    <t>CVCS-40-A3-W-20-NC</t>
  </si>
  <si>
    <t>CVCS-25-SC3-W-250-20</t>
  </si>
  <si>
    <t>CVCS-16-A-K-20</t>
  </si>
  <si>
    <t>CVCS-16-C3-K-250-20</t>
  </si>
  <si>
    <t>CVCS-32-X-W-125-20</t>
  </si>
  <si>
    <t>CVCS-32-W33-20</t>
  </si>
  <si>
    <t>CVCS-25-X-K-125-20</t>
  </si>
  <si>
    <t>CVCS-16-C3-W-350-20-AP08-X00</t>
  </si>
  <si>
    <t>CVCS-40-W33-20</t>
  </si>
  <si>
    <t>CVCS-25-U3-W-250-20-Z108</t>
  </si>
  <si>
    <t>CVCS-25-D3-20-AP199-A10</t>
  </si>
  <si>
    <t>CVCS-25-D3-20-AP110-AP210-X08-A99-B00</t>
  </si>
  <si>
    <t>CVCS-25-C3-M-250-20</t>
  </si>
  <si>
    <t>CVCS-16-W33-20</t>
  </si>
  <si>
    <t>CVCS-32-U3-W-350-20</t>
  </si>
  <si>
    <t>CVCS-25-C-K-125-20</t>
  </si>
  <si>
    <t>CVCS-25-U-W-250-20-AP08-Z108</t>
  </si>
  <si>
    <t>CVCS-25-C3-K-250-20</t>
  </si>
  <si>
    <t>CVCS-32-D3-20-AP199-A13</t>
  </si>
  <si>
    <t>CVCS-25-C3-M-125-20</t>
  </si>
  <si>
    <t>CVCS-25-U3-W-250-20-Z112</t>
  </si>
  <si>
    <t>CVCS-32-X-M-250-20</t>
  </si>
  <si>
    <t>CVCS-16-C3-W-350-20-AP12-X10</t>
  </si>
  <si>
    <t>CVCS-40-A-W-20-X15</t>
  </si>
  <si>
    <t>CVCS-40-X3-W-125-20</t>
  </si>
  <si>
    <t>F3-CVCS-25-C-W-250-20</t>
  </si>
  <si>
    <t>CVCS-32-W13-20-A00</t>
  </si>
  <si>
    <t>CVCS-32-C3-W-350-20-AP14</t>
  </si>
  <si>
    <t>CVCS-32-D3-20-AP113-AP200-X10</t>
  </si>
  <si>
    <t>F3-CVCS-16-W13-20</t>
  </si>
  <si>
    <t>CVCS-25-PC-20-AP18</t>
  </si>
  <si>
    <t>CVCS-25-N-20-X18</t>
  </si>
  <si>
    <t>CVCS-16-X-K-125-20</t>
  </si>
  <si>
    <t>CVCS-25-X3-W-125-20</t>
  </si>
  <si>
    <t>CVCS-25-N-20-X13</t>
  </si>
  <si>
    <t>CVCS-32-D3-20-AP199-AP200-X14-Y14</t>
  </si>
  <si>
    <t>CVCS-40-U-W-125-20</t>
  </si>
  <si>
    <t>CVCS-16-W13-20-AP08-P08</t>
  </si>
  <si>
    <t>CVCS-25-W13-20-A10-B10</t>
  </si>
  <si>
    <t>CVCS-40-W13-20-AP15-P15</t>
  </si>
  <si>
    <t>CVCS-16-D3-20-AP100-AP299</t>
  </si>
  <si>
    <t>CVCS-32-U-M-125-20</t>
  </si>
  <si>
    <t>CVCS-25-A3-W-20-NC-AP108</t>
  </si>
  <si>
    <t>CVCS-32-W13-20-AP10</t>
  </si>
  <si>
    <t>CVCS-40-X-W-35-20</t>
  </si>
  <si>
    <t>CVCS-25-U3-W-125-20-AP22</t>
  </si>
  <si>
    <t>CVCS-32-W13-20-A10</t>
  </si>
  <si>
    <t>CVCS-40-C-M-250-20</t>
  </si>
  <si>
    <t>CVCS-16-A-M-20-X08</t>
  </si>
  <si>
    <t>CVCS-32-C3-W-250-20-AP14-B00</t>
  </si>
  <si>
    <t>F3-CVCS-25-U-W-125-20</t>
  </si>
  <si>
    <t>F3-CVCS-16-U-W-350-20</t>
  </si>
  <si>
    <t>F3-CVCS-40-C-W-350-20</t>
  </si>
  <si>
    <t>CVCS-32-U-W-350-20</t>
  </si>
  <si>
    <t>CVCS-40-D3-20-AP100-AP213</t>
  </si>
  <si>
    <t>CVCS-32-D3-20-AP100-AP213</t>
  </si>
  <si>
    <t>CVI-32-D10-H-50</t>
  </si>
  <si>
    <t>CVI-40-D15Z-M-50</t>
  </si>
  <si>
    <t>CVI-25-D20-L-50</t>
  </si>
  <si>
    <t>CVI-40-R15-M-50</t>
  </si>
  <si>
    <t>CVI-25-D10-L-50</t>
  </si>
  <si>
    <t>CVI-25-D20-M-50</t>
  </si>
  <si>
    <t>CVI-25-D10-H-50</t>
  </si>
  <si>
    <t>CVI-32-D15-M-50</t>
  </si>
  <si>
    <t>CVI-16-R15-M-50</t>
  </si>
  <si>
    <t>CVI-16-D15-M-50</t>
  </si>
  <si>
    <t>CVI-25-C10F-H-50</t>
  </si>
  <si>
    <t>CVI-32-D20-M-50</t>
  </si>
  <si>
    <t>CVI-40-D20-M-50</t>
  </si>
  <si>
    <t>CVI-40-D105-M-50</t>
  </si>
  <si>
    <t>CVI-25-D10-M-50</t>
  </si>
  <si>
    <t>CVI-32-R15-M-50</t>
  </si>
  <si>
    <t>CVI-40-D20-L-50</t>
  </si>
  <si>
    <t>CVI-40-D15-M-50</t>
  </si>
  <si>
    <t>CVI-16-D20-M-50</t>
  </si>
  <si>
    <t>CVI-25-D20-H-50</t>
  </si>
  <si>
    <t>CVI-32-D15Z-M-50</t>
  </si>
  <si>
    <t>CVI-25-D105V-M-50</t>
  </si>
  <si>
    <t>CVI-25-D15-M-50</t>
  </si>
  <si>
    <t>CVI-16-D10-M-50</t>
  </si>
  <si>
    <t>CVI-32-D20-L-50</t>
  </si>
  <si>
    <t>CVI-50-D20-M-50</t>
  </si>
  <si>
    <t>CVI-16-D10-H-50</t>
  </si>
  <si>
    <t>CVI-32-DC15-M-50</t>
  </si>
  <si>
    <t>CVI-32-C10F-H-50</t>
  </si>
  <si>
    <t>CVI-40-D20-H-50</t>
  </si>
  <si>
    <t>CVI-63-D105-L-50</t>
  </si>
  <si>
    <t>CVI-16-F20-M-50</t>
  </si>
  <si>
    <t>CVI-40-D10-H-50</t>
  </si>
  <si>
    <t>CVI-25-D105V-H-50-10</t>
  </si>
  <si>
    <t>CVI-40-OD105-50</t>
  </si>
  <si>
    <t>CVI-32-D105-M-50</t>
  </si>
  <si>
    <t>CVI-63-D20-M-50</t>
  </si>
  <si>
    <t>CVI-25-D15-L-50</t>
  </si>
  <si>
    <t>CVI-16-D20-H-50</t>
  </si>
  <si>
    <t>CVI-16-U-50</t>
  </si>
  <si>
    <t>CVI-40-D105-H-50</t>
  </si>
  <si>
    <t>CVI-25-D105-M-50</t>
  </si>
  <si>
    <t>CVI-16-D105-L-50</t>
  </si>
  <si>
    <t>CVI-16-R15-L-50</t>
  </si>
  <si>
    <t>CVI-32-D10-M-50</t>
  </si>
  <si>
    <t>CVI-25-D105-L-50</t>
  </si>
  <si>
    <t>CVI-32-D15-L-50</t>
  </si>
  <si>
    <t>CVI-40-F20-M-50</t>
  </si>
  <si>
    <t>CVI-40-D10-M-50</t>
  </si>
  <si>
    <t>CVI-63-D20-H-50</t>
  </si>
  <si>
    <t>CVI-16-D105-M-50</t>
  </si>
  <si>
    <t>CVI-32-D105-H-50</t>
  </si>
  <si>
    <t>CVI-32-R15-L-50</t>
  </si>
  <si>
    <t>CVI-32-DC15-H-50</t>
  </si>
  <si>
    <t>CVI-16-D10-L-50</t>
  </si>
  <si>
    <t>CVI-50-D105-M-50</t>
  </si>
  <si>
    <t>CVI-40-D15-L-50</t>
  </si>
  <si>
    <t>CVI-25-DC15-M-50</t>
  </si>
  <si>
    <t>CVI-50-D20-L-50</t>
  </si>
  <si>
    <t>CVI-25-D105V-H-50-08</t>
  </si>
  <si>
    <t>CVI-16-F20-L-50</t>
  </si>
  <si>
    <t>CVI-32-D20-H-50</t>
  </si>
  <si>
    <t>CVI-16-DC15-M-50</t>
  </si>
  <si>
    <t>CVI-16-X2-50</t>
  </si>
  <si>
    <t>CVI-63-D105-M-50</t>
  </si>
  <si>
    <t>CVI-16-D15-H-50</t>
  </si>
  <si>
    <t>CVI-16-DC15-L-50</t>
  </si>
  <si>
    <t>CVI-40-DC15-M-50</t>
  </si>
  <si>
    <t>CVI-16-D15-L-50</t>
  </si>
  <si>
    <t>CVI-25-D105-H-50</t>
  </si>
  <si>
    <t>CVI-32-X2-50</t>
  </si>
  <si>
    <t>CVI-50-D20-H-50</t>
  </si>
  <si>
    <t>CVI-50-D105-H-50</t>
  </si>
  <si>
    <t>CVI-40-C10F-H-50</t>
  </si>
  <si>
    <t>CVI-16-D105-H-50</t>
  </si>
  <si>
    <t>CVI-40-R15-L-50</t>
  </si>
  <si>
    <t>CVI-32-R15-H-50</t>
  </si>
  <si>
    <t>CVI-16-C10F-M-50</t>
  </si>
  <si>
    <t>CVI-32-D105-L-50</t>
  </si>
  <si>
    <t>CVI-32-D15-H-50</t>
  </si>
  <si>
    <t>CVI-16-R15-H-50</t>
  </si>
  <si>
    <t>CVI-32-C10F-L-50</t>
  </si>
  <si>
    <t>CVI-40-D105V-M-50</t>
  </si>
  <si>
    <t>CVI-50-R20-M-50</t>
  </si>
  <si>
    <t>CVI-32-D10-L-50</t>
  </si>
  <si>
    <t>CVI-32-D105V-L-50-10</t>
  </si>
  <si>
    <t>CVI-63-D105-H-50</t>
  </si>
  <si>
    <t>CVI-25-DC15-H-50</t>
  </si>
  <si>
    <t>CVI-32-DC15-L-50</t>
  </si>
  <si>
    <t>CVI-16-D105V-L-50</t>
  </si>
  <si>
    <t>CVI-32-D105V-M-50</t>
  </si>
  <si>
    <t>CVI-32-F20-M-50</t>
  </si>
  <si>
    <t>CVI-25-D105V-M-50-08</t>
  </si>
  <si>
    <t>CVI-63-D20-L-50</t>
  </si>
  <si>
    <t>CVI-25-D15-H-50</t>
  </si>
  <si>
    <t>CVI-63-R20-M-50</t>
  </si>
  <si>
    <t>CVI-40-F20-L-50</t>
  </si>
  <si>
    <t>CVI-32-U-50</t>
  </si>
  <si>
    <t>CVI-16-C10F-H-50</t>
  </si>
  <si>
    <t>CVI-40-U-50</t>
  </si>
  <si>
    <t>CVI-40-D10-L-50</t>
  </si>
  <si>
    <t>CVI-40-D105-L-50</t>
  </si>
  <si>
    <t>CVI-25-C10F-M-50</t>
  </si>
  <si>
    <t>CVI-50-F20-L-50</t>
  </si>
  <si>
    <t>CVI-16-D105V-M-50</t>
  </si>
  <si>
    <t>CVI-32-F20-L-50</t>
  </si>
  <si>
    <t>CVI-16-D105V-H-50</t>
  </si>
  <si>
    <t>CVI-40-D15-H-50</t>
  </si>
  <si>
    <t>CVI-50-D105-L-50</t>
  </si>
  <si>
    <t>CVI-40-R15-H-50</t>
  </si>
  <si>
    <t>F3-CVI-16-D20-M-50</t>
  </si>
  <si>
    <t>CVI-25-R20-L-50</t>
  </si>
  <si>
    <t>CVI-63-D10-L-50</t>
  </si>
  <si>
    <t>CVI-16-F15-M-50</t>
  </si>
  <si>
    <t>CVI-25-DC15-L-50</t>
  </si>
  <si>
    <t>CVI-25-OD105-50</t>
  </si>
  <si>
    <t>CVI-50-F20-M-50</t>
  </si>
  <si>
    <t>CVI-50-F20-H-50</t>
  </si>
  <si>
    <t>CVI-50-D20Z-M-50</t>
  </si>
  <si>
    <t>CVI-16-R20-M-50</t>
  </si>
  <si>
    <t>CVI-40-DC15-L-50</t>
  </si>
  <si>
    <t>CVI-40-C10F-M-50</t>
  </si>
  <si>
    <t>CVI-25-R20-M-50</t>
  </si>
  <si>
    <t>CVI-25-R20-H-50</t>
  </si>
  <si>
    <t>CVI-40-D105V-L-50-12</t>
  </si>
  <si>
    <t>CVI-32-OD105-50</t>
  </si>
  <si>
    <t>CVI-40-D105V-H-50-10</t>
  </si>
  <si>
    <t>CVI-40-D10Z-M-50</t>
  </si>
  <si>
    <t>CVI-63-F20-M-50</t>
  </si>
  <si>
    <t>CVI-50-R20-L-50</t>
  </si>
  <si>
    <t>CVI-63-D105V-H-50</t>
  </si>
  <si>
    <t>CVI-32-R20-M-50</t>
  </si>
  <si>
    <t>CVI-16-C025-50</t>
  </si>
  <si>
    <t>CVI-63-R20-L-50</t>
  </si>
  <si>
    <t>CVI-16-DC15-H-50</t>
  </si>
  <si>
    <t>CVI-63-OD105-50</t>
  </si>
  <si>
    <t>CVI-16-F15-L-50</t>
  </si>
  <si>
    <t>CVI-32-D20Z-M-50</t>
  </si>
  <si>
    <t>CVI-40-F20-H-50</t>
  </si>
  <si>
    <t>CVI-40-R20-M-50</t>
  </si>
  <si>
    <t>F3-CVI-32-D20-M-50</t>
  </si>
  <si>
    <t>CVI-50-D10-H-50</t>
  </si>
  <si>
    <t>CVI-16-R20-L-50</t>
  </si>
  <si>
    <t>CVI-40-D20Z-H-50</t>
  </si>
  <si>
    <t>CVI-63-R10-H-50</t>
  </si>
  <si>
    <t>CVI-50-D10-M-50</t>
  </si>
  <si>
    <t>CVI-40-D15Z-L-50</t>
  </si>
  <si>
    <t>CVI-32-D105Z-L-50</t>
  </si>
  <si>
    <t>CVI-32-D15Z-L-50</t>
  </si>
  <si>
    <t>CVI-50-D20Z-H-50</t>
  </si>
  <si>
    <t>CVI-40-D105Z-M-50</t>
  </si>
  <si>
    <t>F3-CVI-25-D10Z-M-50</t>
  </si>
  <si>
    <t>F3-CVI-16-F20-L-50</t>
  </si>
  <si>
    <t>CVI-25-D20Z-L-50</t>
  </si>
  <si>
    <t>F3-CVI-16-D105-L-50</t>
  </si>
  <si>
    <t>CVI-32-D10Z-H-50</t>
  </si>
  <si>
    <t>CVI-25-D105Z-M-50</t>
  </si>
  <si>
    <t>CVI-40-R20-H-50</t>
  </si>
  <si>
    <t>CVU-16-SWD-B29-M-10</t>
  </si>
  <si>
    <t>CVU-25-SWD3-B29-M-10</t>
  </si>
  <si>
    <t>CVU-25-SWD-B29-M-10</t>
  </si>
  <si>
    <t>CVU-16-SWD-B29-L-10</t>
  </si>
  <si>
    <t>CVU-16-SWD-B29-H-10</t>
  </si>
  <si>
    <t>CVU-25-SWD-B29-L-10</t>
  </si>
  <si>
    <t>CVU-25-SWD-B29-H-10</t>
  </si>
  <si>
    <t>CVU-25-SWD3-B29-L-10</t>
  </si>
  <si>
    <t>CVU-25-SWD3-B29-H-10</t>
  </si>
  <si>
    <t>CVU-25-ZSWD3-B29-H-10</t>
  </si>
  <si>
    <t xml:space="preserve">CVU 40 SWD3 B29 L 10  </t>
  </si>
  <si>
    <t>CVU-40-SWD3-B29-M-10</t>
  </si>
  <si>
    <t>CVU-40-SWD3-B29-H-10</t>
  </si>
  <si>
    <t>CVU-16-SWD3-B29-M-10</t>
  </si>
  <si>
    <t>KIT ORIFICE FOR CVC/I 25/32/40</t>
  </si>
  <si>
    <t>CVU-50-SWD3-B29-M-10</t>
  </si>
  <si>
    <t>CVU-50-SWD3-B29-H-10</t>
  </si>
  <si>
    <t>CVU-63-SWD3-B29-M-10</t>
  </si>
  <si>
    <t>CVCS-32-ZDA3-B29-W-10</t>
  </si>
  <si>
    <t>CVCS-25-ZDA3-B29-W-10</t>
  </si>
  <si>
    <t>CVCS-25-ZD3-B29-10</t>
  </si>
  <si>
    <t>CVCS-32-ZD3-B29-10</t>
  </si>
  <si>
    <t>CVU-32-SWD-B29-H-10</t>
  </si>
  <si>
    <t>CVI-25-HFV-20-B-32-10</t>
  </si>
  <si>
    <t>CVCS-25-HFV3-B29-10</t>
  </si>
  <si>
    <t>CVCS-25-HFV3-W-B29-10</t>
  </si>
  <si>
    <t>CVI-16-HFV-20-B-21-10</t>
  </si>
  <si>
    <t>CVI-16-HFV-20-A-21-10</t>
  </si>
  <si>
    <t>CVCS-16-HFV3-B29-10</t>
  </si>
  <si>
    <t>CVCS-32-HFV3-B29-10</t>
  </si>
  <si>
    <t>CVI-32-HFV-20-B-63-10</t>
  </si>
  <si>
    <t xml:space="preserve">CVU-32-SWD-B29-M-10  </t>
  </si>
  <si>
    <t>CVCS-63-HFV3-B2-10</t>
  </si>
  <si>
    <t>CVCS-63-HFV3-W-B2-10</t>
  </si>
  <si>
    <t>CVI-50-HFV-20-A-130-10</t>
  </si>
  <si>
    <t>CVI-50-HFV-20-B-130-10</t>
  </si>
  <si>
    <t>CVCS-40-HFV3-W-B29-10</t>
  </si>
  <si>
    <t>CVCS-32-HFV3-W-B29-10</t>
  </si>
  <si>
    <t>CVCS-16-HFV3-W-B29-10</t>
  </si>
  <si>
    <t>CVCS-63-ZD3-B2-10</t>
  </si>
  <si>
    <t>CVCS-50-ZD3-B2-10</t>
  </si>
  <si>
    <t>CVCS-50-ZDA3-W-10-B2</t>
  </si>
  <si>
    <t>CVU 50 SWD3 B29 H 10 EN13</t>
  </si>
  <si>
    <t>CVI-25-D20-L-50-EN106</t>
  </si>
  <si>
    <t>EN9 KIT FOR CARTRIDGE VALVE SIZE 63</t>
  </si>
  <si>
    <t>CVGCA-3W350-10</t>
  </si>
  <si>
    <t>CVGCA-3W125-10</t>
  </si>
  <si>
    <t>CVGCA-3W250-10</t>
  </si>
  <si>
    <t xml:space="preserve">CVGS1 3 P T B A 10  </t>
  </si>
  <si>
    <t xml:space="preserve">CVGMS1 3 P T B A 10  </t>
  </si>
  <si>
    <t>CVGC-3W125-10</t>
  </si>
  <si>
    <t>CVGC-3W250-10</t>
  </si>
  <si>
    <t>CVGC-3W350-10</t>
  </si>
  <si>
    <t>CVGC-3M125-10</t>
  </si>
  <si>
    <t>CVGC-3K250-10</t>
  </si>
  <si>
    <t>CVCS-16-A-W-20</t>
  </si>
  <si>
    <t>CVCS-16-A3-W-20</t>
  </si>
  <si>
    <t>CVCS-16-A3-W-20-NC</t>
  </si>
  <si>
    <t>F3-CVCS-16-N-20</t>
  </si>
  <si>
    <t>CVCS-16-A-M-20</t>
  </si>
  <si>
    <t>CVCS-16-B-20</t>
  </si>
  <si>
    <t>CVCS-16-N-20-X99</t>
  </si>
  <si>
    <t>CVCS-25-A-M-20</t>
  </si>
  <si>
    <t>CVCS-25-A3-M-20-NC</t>
  </si>
  <si>
    <t>CVCS-25-A-K-20</t>
  </si>
  <si>
    <t>CVCS-25-C025-20</t>
  </si>
  <si>
    <t>CVCS-16-DC3-20</t>
  </si>
  <si>
    <t>CVCS-16-N-20-X08</t>
  </si>
  <si>
    <t>CVCS-32-A-W-20-X12</t>
  </si>
  <si>
    <t>CVI-25-U-50</t>
  </si>
  <si>
    <t>CVI-25-R15-M-50</t>
  </si>
  <si>
    <t>CVI-16-D20-L-50</t>
  </si>
  <si>
    <t>CVI-25-X2-50</t>
  </si>
  <si>
    <t>CVI-25-R15-L-50</t>
  </si>
  <si>
    <t>CVI-25-F20-H-50</t>
  </si>
  <si>
    <t>CVI-40-X2-50</t>
  </si>
  <si>
    <t>CVI-25-F20-M-50</t>
  </si>
  <si>
    <t>CVI-25-F20-L-50</t>
  </si>
  <si>
    <t>CVI-25-R15-H-50</t>
  </si>
  <si>
    <t>CVI-25-D20Z-H-50</t>
  </si>
  <si>
    <t>CVI-50-D15-L-50</t>
  </si>
  <si>
    <t>CVI-25-D10Z-H-50</t>
  </si>
  <si>
    <t>CVI-50-D105V-H-50-16</t>
  </si>
  <si>
    <t>CVI-50-D15-M-50</t>
  </si>
  <si>
    <t>CVI-25-C025-50</t>
  </si>
  <si>
    <t>CVI-25-F15-M-50</t>
  </si>
  <si>
    <t>CVI-32-F15-M-50</t>
  </si>
  <si>
    <t>CVI-25-X1-50</t>
  </si>
  <si>
    <t>CVI-16-X1-50</t>
  </si>
  <si>
    <t>CVI-63-D15-M-50</t>
  </si>
  <si>
    <t>CVI-63-D15-L-50</t>
  </si>
  <si>
    <t>CVI-32-X1-50</t>
  </si>
  <si>
    <t>CVI-40-X1-50</t>
  </si>
  <si>
    <t>CVI-25-D20Z-M-50</t>
  </si>
  <si>
    <t>CVI-63-D15-H-50</t>
  </si>
  <si>
    <t>CVU-25-ZSWD3-B29-M-10</t>
  </si>
  <si>
    <t>CVU-25-ZSWD3-B29-L-10</t>
  </si>
  <si>
    <t xml:space="preserve">CVU-40-ZSWD3-B29-M-10  </t>
  </si>
  <si>
    <t>CVU-40-SWD-B29-M-10</t>
  </si>
  <si>
    <t xml:space="preserve">CVU 40 SWD B29 L10  </t>
  </si>
  <si>
    <t>CARD HOLDER D32</t>
  </si>
  <si>
    <t>CARD HOLDER F32</t>
  </si>
  <si>
    <t>CARD HOLDER F48</t>
  </si>
  <si>
    <t>EHA-RMP-201-A-20</t>
  </si>
  <si>
    <t>EHA-CON-201-A-20</t>
  </si>
  <si>
    <t>EHA-PSU-201-A-10</t>
  </si>
  <si>
    <t>EHA-PID-201-A-20</t>
  </si>
  <si>
    <t>EHD-DSG-201-A-10</t>
  </si>
  <si>
    <t>EHD-AMP-730-D08-10</t>
  </si>
  <si>
    <t>EEA-PAM-511-A-32</t>
  </si>
  <si>
    <t>EEA-PAM-523-A-32</t>
  </si>
  <si>
    <t>EEA-PAM-533-A-32</t>
  </si>
  <si>
    <t>EEA-PAM-535-A-32</t>
  </si>
  <si>
    <t>EEA-PAM-553-A-32</t>
  </si>
  <si>
    <t>EEA-PAM-561-A-32</t>
  </si>
  <si>
    <t>EEA-PAM-568-A-32</t>
  </si>
  <si>
    <t>EEA-PAM-571-A-32</t>
  </si>
  <si>
    <t>EEA-PAM-541-A-32</t>
  </si>
  <si>
    <t>EHH-AMP-702-C-20</t>
  </si>
  <si>
    <t>EHH-AMP-702-D-20</t>
  </si>
  <si>
    <t>EHH-AMP-702-J-20</t>
  </si>
  <si>
    <t>EHH-AMP-702-K-20</t>
  </si>
  <si>
    <t>EHH-AMP-712-D-20</t>
  </si>
  <si>
    <t>EHH-AMP-712-G-20</t>
  </si>
  <si>
    <t>EEA-PAM-513-A-32</t>
  </si>
  <si>
    <t>EEA-PAM-525-A-32</t>
  </si>
  <si>
    <t>EEA-PAM-581-A-32</t>
  </si>
  <si>
    <t>EEA-PAM-511-B-32</t>
  </si>
  <si>
    <t>EEA-PAM-513-B-32</t>
  </si>
  <si>
    <t>EEA-PAM-523-B-32</t>
  </si>
  <si>
    <t>EEA-PAM-525-B-32</t>
  </si>
  <si>
    <t>EEA-PAM-533-B-32</t>
  </si>
  <si>
    <t>EEA-PAM-535-B-32</t>
  </si>
  <si>
    <t>EEA-PAM-561-B-32</t>
  </si>
  <si>
    <t>EEA-PAM-523-C-32</t>
  </si>
  <si>
    <t>EEA-PAM-525-C-32</t>
  </si>
  <si>
    <t>EEA-PAM-533-C-32</t>
  </si>
  <si>
    <t>EEA-PAM-535-C-32</t>
  </si>
  <si>
    <t>EEA-PAM-561-C-32</t>
  </si>
  <si>
    <t>EEA-PAM-581-C-32</t>
  </si>
  <si>
    <t>EEA-PAM-513-D-32</t>
  </si>
  <si>
    <t>EEA-PAM-523-D-32</t>
  </si>
  <si>
    <t>EEA-PAM-533-D-32</t>
  </si>
  <si>
    <t>EEA-PAM-535-D-32</t>
  </si>
  <si>
    <t>EEA-PAM-553-D-32</t>
  </si>
  <si>
    <t>EEA-PAM-581-D-32</t>
  </si>
  <si>
    <t>EEA-PAM-533-E-32</t>
  </si>
  <si>
    <t>EEA-PAM-533-F-32</t>
  </si>
  <si>
    <t>EEA-PAM-535-F-32</t>
  </si>
  <si>
    <t>EEA-PAM-561-F-32</t>
  </si>
  <si>
    <t xml:space="preserve">EHD AMP 730 E16 10  </t>
  </si>
  <si>
    <t>EHA-PAM-291-A-20</t>
  </si>
  <si>
    <t>EEA-EDC-436-A1-32</t>
  </si>
  <si>
    <t xml:space="preserve">EHH-PAM-600-A-10  </t>
  </si>
  <si>
    <t>EHA-TEQ-470-A-10 CANBUS VALVE TEST BOX</t>
  </si>
  <si>
    <t>EHA-TEQ-471-A-10 VALVE TEST BOX</t>
  </si>
  <si>
    <t>EEA-PAM-118-A-30</t>
  </si>
  <si>
    <t>EHH-AMP-702-A1-21</t>
  </si>
  <si>
    <t>EHH-AMP-702-A2-21</t>
  </si>
  <si>
    <t>EHH-AMP-702-A3-21</t>
  </si>
  <si>
    <t xml:space="preserve">EHH-AMP-702-D-R-P-1-30  </t>
  </si>
  <si>
    <t>EHH-AMP-702-C-R-P-1-30 OBSOLETE</t>
  </si>
  <si>
    <t xml:space="preserve">EHH-AMP-702-K-R-P-1-30  </t>
  </si>
  <si>
    <t>EHH-AMP-712-G-R-P-1-30 OBSOLETE</t>
  </si>
  <si>
    <t xml:space="preserve">EHH-AMP-702-N-C-N-3-30  </t>
  </si>
  <si>
    <t>EHH-AMP-702-D-R-P-2-30 OBSOLETE</t>
  </si>
  <si>
    <t>EHH-AMP-702-P-R-P-1-30 OBSOLETE</t>
  </si>
  <si>
    <t>EHH-AMP-712-P-R-P-1-30 OBSOLETE</t>
  </si>
  <si>
    <t>CARTRIDGE KIT, 25VPF 050, BUNA N</t>
  </si>
  <si>
    <t>CARTRIDGE KIT, 45VMQ 215, BUN</t>
  </si>
  <si>
    <t>CARTRIDGE KIT, 45VMQ-195,  BUNA, 30TH DESIGN</t>
  </si>
  <si>
    <t xml:space="preserve">CART KIT 45VMQ 180  </t>
  </si>
  <si>
    <t>CARTRIDGE KIT, 45VMQ-160,  BUNA, 30TH DESIGN</t>
  </si>
  <si>
    <t>CART KIT 45VMQ-160, BUNA 32ND (BLD LT)</t>
  </si>
  <si>
    <t>CARTRIDGE KIT, 45VMQ-140,  BUNA, 30TH DESIGN</t>
  </si>
  <si>
    <t>CARTRIDGE KIT, 45VMQ-140 BUNA, 32ND (BLD LT)T)</t>
  </si>
  <si>
    <t>C KIT 35VMQ-135, BUNA 32ND</t>
  </si>
  <si>
    <t>C KIT 35VMQ-135, VITON 32ND</t>
  </si>
  <si>
    <t>CARTRIDGE KIT, 35VMQ 125, BUN</t>
  </si>
  <si>
    <t>CARTRIDGE KIT, 35VMQ 112, BUN</t>
  </si>
  <si>
    <t>CARTRIDGE KIT, 25VMQ-080, BUNA-N, 30TH</t>
  </si>
  <si>
    <t>CARTRIDGE KIT, 25VMQ-050, BUNA-N, 30TH</t>
  </si>
  <si>
    <t>C KIT 25VMQ-045, BUNA 32ND (BLD RT)</t>
  </si>
  <si>
    <t>CARTRIDGE KIT, 25VMQ-020, BUNA-N, 30TH</t>
  </si>
  <si>
    <t>CARTRIDGE KIT, 25VMQ-016, BUNA-N, 30TH</t>
  </si>
  <si>
    <t>C KIT 25VMQ-090 BUNA-N 32ND (BLD RT)</t>
  </si>
  <si>
    <t>CARTRIDGE KIT, 35VMQ-158, BUNA-N, 30TH DESIGN</t>
  </si>
  <si>
    <t>CARTRIDGE KIT, 25VMQ-040,  SHF END 2525 OR CVR E</t>
  </si>
  <si>
    <t>C KIT 25VMQ-045, SHF END32ND (BLD RT)</t>
  </si>
  <si>
    <t xml:space="preserve">CART KIT 25VMQ 050  </t>
  </si>
  <si>
    <t>CARTRIDGE KIT, 25VMQ 063, SHF</t>
  </si>
  <si>
    <t>CARTRIDGE KIT, 25VMQ 071, SHF</t>
  </si>
  <si>
    <t>CARTRIDGE KIT, 25VMQ-071, SHF END 2525 OR CVR EN</t>
  </si>
  <si>
    <t>CARTRIDGE KIT, 25VMQ-080, SHF END 2525 OR CVR EN</t>
  </si>
  <si>
    <t>CARTRIDGE KIT, 25VMQ 090, SHF</t>
  </si>
  <si>
    <t>CARTRIDGE KIT, 25VMQ 071, COV</t>
  </si>
  <si>
    <t>C KIT 25VMQ-071 BUNA 32ND</t>
  </si>
  <si>
    <t>CARTRIDGE KIT, 25VMQ-050,  COVER END OF 2525 &amp; 3</t>
  </si>
  <si>
    <t>CARTRIDGE KIT, 25VMQ-010,  COVER END 2525 &amp; 3525</t>
  </si>
  <si>
    <t>C KIT 25VMQ-016, BUNA 32ND (BLD RT)</t>
  </si>
  <si>
    <t>C KIT 25VMQ-016 SHF END 32ND (BLD RT)</t>
  </si>
  <si>
    <t>CARTRIDGE KIT 25VMQ-016 SHF END 2525 OR CVR END</t>
  </si>
  <si>
    <t>CARTRIDGE KIT, 25VMQ 032, SHF</t>
  </si>
  <si>
    <t>CARTRIDGE KIT, 25VMQ 025, SHF</t>
  </si>
  <si>
    <t>CARTRIDGE KIT, 35VMQ-090, BUNA-N, 30TH DESIGN</t>
  </si>
  <si>
    <t>CARTRIDGE KIT, 35VMQ 135, BUN</t>
  </si>
  <si>
    <t>CARTRIDGE KIT, 35VMQ-135,  BUNA-N, 30TH DESIGN</t>
  </si>
  <si>
    <t>RING- RETAINING (INTERNAL)</t>
  </si>
  <si>
    <t>VMQ125S010A00100AAAANR00A032</t>
  </si>
  <si>
    <t>VMQ125S016A00100AAAANR00A032</t>
  </si>
  <si>
    <t>VMQ125S016A00100AACANR00A032</t>
  </si>
  <si>
    <t>VMQ125S025A00100AAAANR00A032</t>
  </si>
  <si>
    <t>VMQ125S025A00100AACANR00A032</t>
  </si>
  <si>
    <t>VMQ125S032A00100AAAANR00A032</t>
  </si>
  <si>
    <t>VMQ125S032A00100AACANR00A032</t>
  </si>
  <si>
    <t>VMQ125S050A00100AAAANR00A032</t>
  </si>
  <si>
    <t>VMQ125S080A00100AAAANR00A032</t>
  </si>
  <si>
    <t>VMQ125S025A00500BBCANR00A032</t>
  </si>
  <si>
    <t>VMQ125S080A00100BBAANR00A032</t>
  </si>
  <si>
    <t>VMQ125S071A00500BBDANR00A032</t>
  </si>
  <si>
    <t>VMQ125S045A00500AACANR00A032</t>
  </si>
  <si>
    <t>VMQ135S125B00100BBBANR00A032</t>
  </si>
  <si>
    <t>VMQ135S100B00500BBDANR00A032</t>
  </si>
  <si>
    <t>VMQ135S125B00100AAAANR000032</t>
  </si>
  <si>
    <t>VMQ135S125B00100AABANR00A032</t>
  </si>
  <si>
    <t>VMQ135S135B00100AAAANR00A032</t>
  </si>
  <si>
    <t>VMQ135S100B00600AADANR00A032</t>
  </si>
  <si>
    <t>VMQ145S195B00500BBCANR00A032</t>
  </si>
  <si>
    <t>VMQ145T240BL0932AAAANR00A032</t>
  </si>
  <si>
    <t>VMQ145S240B00900AABANR00A032</t>
  </si>
  <si>
    <t>VMQ145T215BJ0132AAAANR00A032</t>
  </si>
  <si>
    <t>VMQ145S160B00900AAAANL00A032</t>
  </si>
  <si>
    <t>VMQ145T160BE0622AAAANL00A032</t>
  </si>
  <si>
    <t>VMQ145T160BM0632AAAANL00A032</t>
  </si>
  <si>
    <t>VMQ145T240BJ0932AAAANR00A032</t>
  </si>
  <si>
    <t>VMQ145T240BJ0132AAAANR00A032</t>
  </si>
  <si>
    <t>VMQ145S240B00900AAAANR00A032</t>
  </si>
  <si>
    <t>VMQ145T215BJ0932AAAANR00A032</t>
  </si>
  <si>
    <t>VMQ145S215B00900AAAANR00A032</t>
  </si>
  <si>
    <t>VMQ22525S025016A00100AAAAEANR00A032</t>
  </si>
  <si>
    <t>VMQ22525S032032A00100AAAAEANR00A032</t>
  </si>
  <si>
    <t>VMQ22525S080080A00500AAAAEANR00A032</t>
  </si>
  <si>
    <t>VMQ22525S080080A00500AAACGANR00A032</t>
  </si>
  <si>
    <t>VMQ22525S032016A00100AAAAEANR00A032</t>
  </si>
  <si>
    <t>VMQ22525S040010A00100AAAAEANR00A032</t>
  </si>
  <si>
    <t>VMQ22525S040040A00500BBBDFANR00A032</t>
  </si>
  <si>
    <t>VMQ22525S090090A00500AAAAEAVL00A032</t>
  </si>
  <si>
    <t>VMQ22525S063010A00200AAACGANR00A032</t>
  </si>
  <si>
    <t>VMQ22525S050040A00200AAABFANR00A032</t>
  </si>
  <si>
    <t>VMQ22525S010010A00100AAAAEANR00A032</t>
  </si>
  <si>
    <t>VMQ23525S135045B00200AAAADANR00A032</t>
  </si>
  <si>
    <t>VMQ23525S125080B00500BBBCCANR00A032</t>
  </si>
  <si>
    <t>VMQ23525S090050B00500BBBDBANR00A032</t>
  </si>
  <si>
    <t>VMQ23525S112080B00500AAAAAANR00A032</t>
  </si>
  <si>
    <t>VMQ23525S090090B00100AAAAAANR00A032</t>
  </si>
  <si>
    <t>VMQ23525S125032B00100BABCAANR00A032</t>
  </si>
  <si>
    <t>VMQ23525S135063B00500BBBDBANR00A032</t>
  </si>
  <si>
    <t>VMQ23525S158045B00200BBBAAANR00A032</t>
  </si>
  <si>
    <t>VMQ24525S195040B00500BBBCCANR00A032</t>
  </si>
  <si>
    <t>VMQ24525S215045B00100AAADCANR00A032</t>
  </si>
  <si>
    <t>VMQ24535S160100B00100AAACCANR00A032</t>
  </si>
  <si>
    <t>VMQ24535S160090B00500BBBDBANR00A032</t>
  </si>
  <si>
    <t>VMQ24535S215135B00500BBBDBANR00A032</t>
  </si>
  <si>
    <t>VMQ24535S140100B00500AAAAAANR00A032</t>
  </si>
  <si>
    <t>VMQ24535S160112B00500AAAAAANR00A032</t>
  </si>
  <si>
    <t>VMQ24535S215158B00200BBBBBANR00A032</t>
  </si>
  <si>
    <t>VMQ24535S215158B00200BBBBBANL00A032</t>
  </si>
  <si>
    <t xml:space="preserve">KEY, SQUARE  </t>
  </si>
  <si>
    <t>KIT ROTATING GROUP PVM081/PVH081</t>
  </si>
  <si>
    <t>KIT ROTATING GROUP PVM141/PVH141</t>
  </si>
  <si>
    <t>KIT ROTATING GROUP PVM045</t>
  </si>
  <si>
    <t>KIT ROTATING GROUP PVM131</t>
  </si>
  <si>
    <t>KIT ROTATING GROUP PVM018</t>
  </si>
  <si>
    <t>KIT ROTATING GROUP PVM020</t>
  </si>
  <si>
    <t xml:space="preserve">SWASH PLATE  </t>
  </si>
  <si>
    <t>Rotating Group Kit - PVB6, PVQ13</t>
  </si>
  <si>
    <t xml:space="preserve">Rotating group kit  </t>
  </si>
  <si>
    <t xml:space="preserve">ROTATING GROUP PVH131  </t>
  </si>
  <si>
    <t xml:space="preserve">ROTATING GROUP PVH57  </t>
  </si>
  <si>
    <t>KIT ROTATING GROUP PVM074/PVH074</t>
  </si>
  <si>
    <t>KIT ROTATING GROUP PVM098/PVH098</t>
  </si>
  <si>
    <t>ROTATING GROUP KIT PVE12</t>
  </si>
  <si>
    <t xml:space="preserve">ROTATING GROUP Kit  </t>
  </si>
  <si>
    <t xml:space="preserve">ROT GROUP Kit  </t>
  </si>
  <si>
    <t>Rotating Group Kit (PVB15/PVQ32)</t>
  </si>
  <si>
    <t xml:space="preserve">ROTATING GROUP PVB20  </t>
  </si>
  <si>
    <t xml:space="preserve">ROTATING GROUP PVB29 20  </t>
  </si>
  <si>
    <t xml:space="preserve">ROTATING GROUP PVB10 30  </t>
  </si>
  <si>
    <t>SHAFT PVM018 SAE A 5/8 DIA STR KEY</t>
  </si>
  <si>
    <t>DRIVE SHAFT - PVM18/20 3/4 DIA STR KEY</t>
  </si>
  <si>
    <t>INDUSTRIAL VALVE PLATE (RH)</t>
  </si>
  <si>
    <t xml:space="preserve">PVB5-RSY-40-CG-30-S30  </t>
  </si>
  <si>
    <t xml:space="preserve">PVB5-LSY-40-CC-12  </t>
  </si>
  <si>
    <t xml:space="preserve">F3-PVB20-RS-20-C-11  </t>
  </si>
  <si>
    <t>PVE012R01AUB0A2100000200100CD0A</t>
  </si>
  <si>
    <t>PVE012R01AUB0B2111000100100CD0A</t>
  </si>
  <si>
    <t>PVE012R05AUB0A2100000100100CD0A</t>
  </si>
  <si>
    <t>PVE012R01AUB0A2100000100100CD0A</t>
  </si>
  <si>
    <t>PVE19AL05AA10A1700000100100CD0A</t>
  </si>
  <si>
    <t>PVE19AR08AA10J0100000100100CD0A</t>
  </si>
  <si>
    <t>PVE19AL05AA10A2100000100100CD0A</t>
  </si>
  <si>
    <t>PVE19AR05AA10A2100000100100CD0A</t>
  </si>
  <si>
    <t>PVE19AR08AA10A2100000100100CD0A</t>
  </si>
  <si>
    <t>PVE19AR02AA10A2100000100100CD0A</t>
  </si>
  <si>
    <t>PVE19AR02AA10A2100000200100CD0A</t>
  </si>
  <si>
    <t>PVE19AL05AA10B211100A100100CD0A</t>
  </si>
  <si>
    <t>PVE19AR02AA10B211100A100100CD0A</t>
  </si>
  <si>
    <t>PVE19AL02AA10B211100A100100CD0A</t>
  </si>
  <si>
    <t>PVE19AL08AA10B211100A100100CD0A</t>
  </si>
  <si>
    <t>PVE19AR08AA10B211100A100100CD0A</t>
  </si>
  <si>
    <t>PVE19AL08AA10A140000H1001000B0A</t>
  </si>
  <si>
    <t>PVE21AL05AB10B181100A100100CD0A</t>
  </si>
  <si>
    <t>PVE21AR08AA10A1800000100100CD0A</t>
  </si>
  <si>
    <t>PVE21AR05AA10B191100A100100CD0A</t>
  </si>
  <si>
    <t>PVE21AL05AA10B191100A100100CD0A</t>
  </si>
  <si>
    <t>PVE21AR02AA10B181100A100100CD0A</t>
  </si>
  <si>
    <t>PVE21AL02AA10B181100A100100CD0A</t>
  </si>
  <si>
    <t>PVE19AR02AA10A21000001AA1APCD0A</t>
  </si>
  <si>
    <t>PVE21AR08AB10B1811000100100CD0A</t>
  </si>
  <si>
    <t>PVE19AL05AB10B1624000100100CD0A</t>
  </si>
  <si>
    <t>PVE19AR08AA10A2100000200100CD0A</t>
  </si>
  <si>
    <t>PVE19AR01AA10A140000E100100CD0A</t>
  </si>
  <si>
    <t>PVE012R01AUB0H211100A1001AGCD0A</t>
  </si>
  <si>
    <t>PVE012R05AUB0G21000001001AGCD0A</t>
  </si>
  <si>
    <t>PVE012R01AUB0G21000001001AGCD0A</t>
  </si>
  <si>
    <t>PVE012R01AUB0D01000001001AGCD0A</t>
  </si>
  <si>
    <t>PVE012R01AUB0G21000002001AGCD0A</t>
  </si>
  <si>
    <t>PVE012R05AUB0B211100A100100CD0A</t>
  </si>
  <si>
    <t>PVE21AR05AA10A1800000100100CD0A</t>
  </si>
  <si>
    <t>PVE012L05AUB0B211100A100100CD0A</t>
  </si>
  <si>
    <t>PVE21AR08AC10B181100A1AA100CD0A</t>
  </si>
  <si>
    <t>PVE21AL08AA10B1811000100100CD0A</t>
  </si>
  <si>
    <t>PVE19AR02AA10B2111000100100CD0A</t>
  </si>
  <si>
    <t>PVE21AL08AA10B181100A100100CD0A</t>
  </si>
  <si>
    <t>PVE19AR02AA10D0100000100100CD0A</t>
  </si>
  <si>
    <t>PVE21AL08AA10B1824000100100CD0A</t>
  </si>
  <si>
    <t>PVE21AR08AA10B211100A1AG100CD0A</t>
  </si>
  <si>
    <t>PVE19AR05AA10B211100A100100CD0A</t>
  </si>
  <si>
    <t>PVE19AL05AA10A1100000100100CD0A</t>
  </si>
  <si>
    <t>PVE19AR05AA10A4000000100100CD0A</t>
  </si>
  <si>
    <t>PVE012R05AUB0B2111000100100CD0A</t>
  </si>
  <si>
    <t>PVE21AR05AB10A3300000100100CD0A</t>
  </si>
  <si>
    <t>PVE21AL08AA10B182400A1AA100CD0A</t>
  </si>
  <si>
    <t>PVE012R01AUB0A0700000100100CD0A</t>
  </si>
  <si>
    <t>PVH074R13AA10A250000001AF1AB010A</t>
  </si>
  <si>
    <t>PVH074R13AA10B252000001AF1AB010A</t>
  </si>
  <si>
    <t>PVH057R01AA10A070000001001AB010A</t>
  </si>
  <si>
    <t>PVH074R02AA10B252000001001AB010A</t>
  </si>
  <si>
    <t>PVH098R01AJ30A070000001001AB010A</t>
  </si>
  <si>
    <t>PVH074L02AA10A07000000100100010A</t>
  </si>
  <si>
    <t>PVH057R02AA10A25000000100100010A</t>
  </si>
  <si>
    <t>PVH131R13AF30A07000000100100010A</t>
  </si>
  <si>
    <t>PVH074R02AA10B252000001AF100010A</t>
  </si>
  <si>
    <t>PVH098R02AJ30B252000001AD100010A</t>
  </si>
  <si>
    <t>PVH098L02AJ30B252000001AD100010A</t>
  </si>
  <si>
    <t>PVH074R01AA10A070000001001AB010A</t>
  </si>
  <si>
    <t>PVH057R01AA10B252000001AE100010A</t>
  </si>
  <si>
    <t>PVH131R16AF30A070000001AD100010A</t>
  </si>
  <si>
    <t>PVH098R13AJ30A070000001AD1AB010A</t>
  </si>
  <si>
    <t>PVH131R16AF30B252000001AD100010A</t>
  </si>
  <si>
    <t>PVH131L16AF30B252000001AD100010A</t>
  </si>
  <si>
    <t>PVH131R03AF30B252000001AD1AB010A</t>
  </si>
  <si>
    <t>PVH098L13AJ30B252000001AD100010A</t>
  </si>
  <si>
    <t>PVH098R13AJ30B252000001AD100010A</t>
  </si>
  <si>
    <t>PVH131R03AF30B252000001001AB010A</t>
  </si>
  <si>
    <t>PVH057R01AA10H002000AW1001AB010A</t>
  </si>
  <si>
    <t>PVH057R01AA10H002000AW1AE1AB010A</t>
  </si>
  <si>
    <t>PVH074R01AA10H002000AW1001AB010A</t>
  </si>
  <si>
    <t>PVH074R13AA10H002000AW1AF1AB010A</t>
  </si>
  <si>
    <t>PVH098R01AJ30H002000AW1001AB010A</t>
  </si>
  <si>
    <t>PVH057R02AA10A250000001001AB010A</t>
  </si>
  <si>
    <t>PVH098R02AJ30B252000001001AB010A</t>
  </si>
  <si>
    <t>PVH131R02AF30B25200000100100010A</t>
  </si>
  <si>
    <t>PVH057R02AA10A14000000100200010A</t>
  </si>
  <si>
    <t>PVH057R01AA10B142000001AE1AB010A</t>
  </si>
  <si>
    <t>PVH098R01AJ30B25200000100200010A</t>
  </si>
  <si>
    <t>PVH074R01AA50A250000001001AB010A</t>
  </si>
  <si>
    <t>PVH098R01AJ70B252000001001AB010A</t>
  </si>
  <si>
    <t>PVH057R01AA50B252000001001AB010A</t>
  </si>
  <si>
    <t>PVH074R01AA50B252000001001AB010A</t>
  </si>
  <si>
    <t>PVH131R13AF70B25200000100100010A</t>
  </si>
  <si>
    <t>PVH098R01AJ30A250000002001AB010A</t>
  </si>
  <si>
    <t>PVH057R01AA10A25000000200100010A</t>
  </si>
  <si>
    <t>PVH074R01AA10B25200000200100010A</t>
  </si>
  <si>
    <t>PVH098R01AJ30A25000000200100010A</t>
  </si>
  <si>
    <t>PVH131R13AF30A25000000200100010A</t>
  </si>
  <si>
    <t>PVH057R01AA10A250000002001AB010A</t>
  </si>
  <si>
    <t>PVH098L02AJ30B25200000100200010A</t>
  </si>
  <si>
    <t>PVH098R01AJ70A250000001001AB010A</t>
  </si>
  <si>
    <t>PVH131R13AF30B25200000200100010A</t>
  </si>
  <si>
    <t>PVH131R13AF30A250000002001AB010A</t>
  </si>
  <si>
    <t>PVH074R01AA10A250000002001AB010A</t>
  </si>
  <si>
    <t>PVH098R02AJ30H002000AW1001AB010A</t>
  </si>
  <si>
    <t>PVH057R01AA50A250000001AE1AB010A</t>
  </si>
  <si>
    <t>PVH098R01AD30A250000001001AB010A</t>
  </si>
  <si>
    <t>PVH057R01AA10B25200000200100010A</t>
  </si>
  <si>
    <t>PVH074R01AA10A25000000200100010A</t>
  </si>
  <si>
    <t>PVH098R02AJ30B25200000200100010A</t>
  </si>
  <si>
    <t>PVH074R01AA10B252000002001AB010A</t>
  </si>
  <si>
    <t>PVH131R13AF30H002000BD2001AB010A</t>
  </si>
  <si>
    <t>PVH057R01AA10A070000002001AB010A</t>
  </si>
  <si>
    <t>PVH098R01AJ30A070000002001AB010A</t>
  </si>
  <si>
    <t>PVH098R01AJ30B25200000200100010A</t>
  </si>
  <si>
    <t>PVH057R01AA10H002000AW2001AB010A</t>
  </si>
  <si>
    <t>PVH098R01AJ30H002000AW2001AB010A</t>
  </si>
  <si>
    <t>PVH098R01AJ30B252000002001AB010A</t>
  </si>
  <si>
    <t>PVH131R03AF30A250000002001AB010A</t>
  </si>
  <si>
    <t>PVH057R01AA10B252000002001AB010A</t>
  </si>
  <si>
    <t>PVH131R13AF70B252000001001AB010A</t>
  </si>
  <si>
    <t>PVH057R01AA10A250000002001AE010A</t>
  </si>
  <si>
    <t>PVH057R01AA10A250000001AE1AE010A</t>
  </si>
  <si>
    <t>PVH057R02AA10B252000001001AA010A</t>
  </si>
  <si>
    <t>PVH057R01AA10A250000001001AE010A</t>
  </si>
  <si>
    <t>PVH057R01AA10B252000001001AE010A</t>
  </si>
  <si>
    <t>PVH074R02AA10B252000001AF1AA010A</t>
  </si>
  <si>
    <t>PVH074R01AA10A250000001001AE010A</t>
  </si>
  <si>
    <t>PVH074R01AA10B252000001001AE010A</t>
  </si>
  <si>
    <t>PVH098L02AJ30B252000001001AA010A</t>
  </si>
  <si>
    <t>PVH131R13AF30A250000001001AE010A</t>
  </si>
  <si>
    <t>PVH131R13AF30B252000001001AA010A</t>
  </si>
  <si>
    <t>PVH131R13AF30B252000001001AE010A</t>
  </si>
  <si>
    <t>PVH131R13AF30B252000002001AB010A</t>
  </si>
  <si>
    <t>PVH074R01AB10A250000001001AB010A</t>
  </si>
  <si>
    <t>PVH074R01AA50B252000002001AB010A</t>
  </si>
  <si>
    <t>PVH074R13AA10B162000001AF1AC010A</t>
  </si>
  <si>
    <t>PVH074R13AA10A160000001AF1AC010A</t>
  </si>
  <si>
    <t>PVH074R01AA60E252009001001AE010A</t>
  </si>
  <si>
    <t>PVH131R03AF30B252000001AD1AP010A</t>
  </si>
  <si>
    <t>PVH098R01AD30B252000001001AB010A</t>
  </si>
  <si>
    <t>PVH141R13AF30B252000001001AB010A</t>
  </si>
  <si>
    <t>PVH141R13AF30A230000001001AB010A</t>
  </si>
  <si>
    <t>PVH141R13AF30A230000002001AB010A</t>
  </si>
  <si>
    <t>PVH098R01AD30A250000002001AB010A</t>
  </si>
  <si>
    <t>PVH141R16AF30A230000001AD1AB010A</t>
  </si>
  <si>
    <t>PVH057R01AA50A250000001001AB010A</t>
  </si>
  <si>
    <t>PVH131R13AF70A250000001001AA010A</t>
  </si>
  <si>
    <t>PVH098L13AJ30E252004001AD1AA010A</t>
  </si>
  <si>
    <t>PVH141R16AF30E252004001AD1AA010A</t>
  </si>
  <si>
    <t>PVH074R13AA10E252004001AF1AA010A</t>
  </si>
  <si>
    <t>PVH098R13AJ30E252004001AD1AA010A</t>
  </si>
  <si>
    <t>PVH131R13AF30D250014001001AA010A</t>
  </si>
  <si>
    <t>PVH074R01AA10E252014001001AE010A</t>
  </si>
  <si>
    <t>PVH057R02AA10B252000001001AE010A</t>
  </si>
  <si>
    <t>PVH098R02AJ30E252004001001AE010A</t>
  </si>
  <si>
    <t>PVH057R02AA10A250000001001AE010A</t>
  </si>
  <si>
    <t>PVH098R01AJ70E252004001001AE010A</t>
  </si>
  <si>
    <t>PVH131R13AF30A250000002001AE010A</t>
  </si>
  <si>
    <t>PVH131R02AF30B252000AL1002AP010A</t>
  </si>
  <si>
    <t>PVH074R02AA10B252000AL1002AP010A</t>
  </si>
  <si>
    <t>PVH057R01AA10E252004001001AE010A</t>
  </si>
  <si>
    <t>PVH074R01AA10D250004001001AE010A</t>
  </si>
  <si>
    <t>PVH074R0NAB10A250000002001AE010A</t>
  </si>
  <si>
    <t>PVH074R01AB10A250000002001AE010A</t>
  </si>
  <si>
    <t>PVH141R13AG30A250000001001AE010A</t>
  </si>
  <si>
    <t>PVH131R16AF30E252004001AD1AE010A</t>
  </si>
  <si>
    <t>PVH131R03AF30E252008001AD1AA010A</t>
  </si>
  <si>
    <t>PVH098R13AJ70B252000001AD1AE010A</t>
  </si>
  <si>
    <t>PVH057R01AA10E252004001001AA010A</t>
  </si>
  <si>
    <t>PVH074R01AA10E252009001001AE010A</t>
  </si>
  <si>
    <t>PVH131R13AF30E252015001001AA010A</t>
  </si>
  <si>
    <t>PVH098R13AJ30E212010001AD1AE010A</t>
  </si>
  <si>
    <t>PVH098R01AJ30D250010001001AE010A</t>
  </si>
  <si>
    <t>PVH074R01AA10E252004001001AA010A</t>
  </si>
  <si>
    <t>PVH141R13AF30A230000001001AE010A</t>
  </si>
  <si>
    <t>PVH057R02AA10B252000001AK1AE010A</t>
  </si>
  <si>
    <t>PVH131R13AF30E252008001001AE010A</t>
  </si>
  <si>
    <t>PVH131R02AF30B252000002001AA010A</t>
  </si>
  <si>
    <t>PVH057R01AB10A250000002001AE010A</t>
  </si>
  <si>
    <t>PVH074R01AA50B252000001001AE010A</t>
  </si>
  <si>
    <t>PVH057R01AA10E252008001001AE010A</t>
  </si>
  <si>
    <t>PVH131R02AF30B252000001001AA010A</t>
  </si>
  <si>
    <t>PVH131R13AF70B25200000200100010A</t>
  </si>
  <si>
    <t>PVH098R02AJ30B25200000100100010A</t>
  </si>
  <si>
    <t>PVH074R02AA10B25200000100100010A</t>
  </si>
  <si>
    <t>PVH074R02AA10H002000AW2001AB010A</t>
  </si>
  <si>
    <t>PVH131R13AF30E252015001001AE010A</t>
  </si>
  <si>
    <t>PVH098R01AJ30A250000001003AB010A</t>
  </si>
  <si>
    <t>PVH106R03AD40G002000BR1AA1BZ030A</t>
  </si>
  <si>
    <t>PVH057R01AA50B252000002001AB010A</t>
  </si>
  <si>
    <t>PVH098R01AJ70B252000002001AB010A</t>
  </si>
  <si>
    <t>PVH141R12AF30B232000001AD100010A</t>
  </si>
  <si>
    <t>PVH074R01AA10B252000001001AB010A</t>
  </si>
  <si>
    <t>PVH057R01AA10B252000001001AB010A</t>
  </si>
  <si>
    <t>PVH098R01AJ30B252000001001AB010A</t>
  </si>
  <si>
    <t>PVH057L02AA10B25200000100100010A</t>
  </si>
  <si>
    <t>PVH057R01AA10B25200000100100010A</t>
  </si>
  <si>
    <t>PVH057R01AA10A250000001001AB010A</t>
  </si>
  <si>
    <t>PVH057R01AA10A25000000100100010A</t>
  </si>
  <si>
    <t>PVH057R01AA10B252000001AE1AB010A</t>
  </si>
  <si>
    <t>PVH074R01AA10A250000001001AB010A</t>
  </si>
  <si>
    <t>PVH074R02AA10A25000000100100010A</t>
  </si>
  <si>
    <t>PVH074L01AA10B25200000100100010A</t>
  </si>
  <si>
    <t>PVH098R01AJ30B25200000100100010A</t>
  </si>
  <si>
    <t>PVH098R01AJ30A25000000100100010A</t>
  </si>
  <si>
    <t>PVH098R13AJ30B252000001AD1AB010A</t>
  </si>
  <si>
    <t>PVH131R13AF30A25000000100100010A</t>
  </si>
  <si>
    <t>PVH131L03AF30B25200000100100010A</t>
  </si>
  <si>
    <t>PVH131R03AF30B25200000100100010A</t>
  </si>
  <si>
    <t>PVH057R01AA10A250000001AE100010A</t>
  </si>
  <si>
    <t>PVH057R01AA10A250000001AE1AB010A</t>
  </si>
  <si>
    <t>PVH057R01AA10A070000001AE1AB010A</t>
  </si>
  <si>
    <t>PVH057L02AA10A25000000100100010A</t>
  </si>
  <si>
    <t>PVH057L01AA10B25200000100100010A</t>
  </si>
  <si>
    <t>PVH074R01AA10A25000000100100010A</t>
  </si>
  <si>
    <t>PVH074R01AA10B25200000100100010A</t>
  </si>
  <si>
    <t>PVH074R13AA10B252000001AF100010A</t>
  </si>
  <si>
    <t>PVH074L03AA10B252000001AF100010A</t>
  </si>
  <si>
    <t>PVH098R01AJ30A250000001001AB010A</t>
  </si>
  <si>
    <t>PVH098R03AJ30A250000001AD100010A</t>
  </si>
  <si>
    <t>PVH098R03AJ30B252000001AD100010A</t>
  </si>
  <si>
    <t>PVH098R13AJ30A250000001AD1AB010A</t>
  </si>
  <si>
    <t>PVH098L01AJ30B25200000100100010A</t>
  </si>
  <si>
    <t>PVH098L03AJ30B252000001AD100010A</t>
  </si>
  <si>
    <t>PVH131R03AF30A25000000100100010A</t>
  </si>
  <si>
    <t>PVH131R13AF30B25200000100100010A</t>
  </si>
  <si>
    <t>PVH131R13AF30A250000001001AB010A</t>
  </si>
  <si>
    <t>PVH131R13AF30B252000001001AB010A</t>
  </si>
  <si>
    <t>PVH131R16AF30A250000001AD1AB010A</t>
  </si>
  <si>
    <t>PVH131R16AF30B252000001AD1AB010A</t>
  </si>
  <si>
    <t>PVH131L13AF30A25000000100100010A</t>
  </si>
  <si>
    <t>PVH131L03AF30B252000001AD100010A</t>
  </si>
  <si>
    <t>PVM045ER05CS02AAA28000000A0A</t>
  </si>
  <si>
    <t>PVM045ER05CS02AAA07000000A0A</t>
  </si>
  <si>
    <t>PVM045ER05CS02AAB21110000A0A</t>
  </si>
  <si>
    <t>PVM131ER10GS02AAA28000000A0A</t>
  </si>
  <si>
    <t>PVM131ER10GS02AAC28110000A0A</t>
  </si>
  <si>
    <t>PVM141ER10GS02AAA2300000EA0A</t>
  </si>
  <si>
    <t>PVM045ER05CS02AAC28110000A0A</t>
  </si>
  <si>
    <t>PVM057ER09ES02AAA28000000A0A</t>
  </si>
  <si>
    <t>PVM063ER09EE02AAA23000000A0A</t>
  </si>
  <si>
    <t>PVM057ER09GS02AAA28000000A0A</t>
  </si>
  <si>
    <t>PVM131ER10GS02AAB28110000A0A</t>
  </si>
  <si>
    <t>PVM141ER10GS02AAB23110000A0A</t>
  </si>
  <si>
    <t>PVM045ER05CE01AAC28110000A0A</t>
  </si>
  <si>
    <t>PVM045ER05CE01AAA28000000A0A</t>
  </si>
  <si>
    <t>PVM045MR07CS02AAC28110000A0A</t>
  </si>
  <si>
    <t>PVM057ER09GS02AAC28110000A0A</t>
  </si>
  <si>
    <t>PVM045ER05CS05AAB28110000A0A</t>
  </si>
  <si>
    <t>PVM020ER05CS01AAA23000000A0A</t>
  </si>
  <si>
    <t>PVM018ER02AE01AAA07000000A0A</t>
  </si>
  <si>
    <t>PVM045ER05CE04AAA28000000A0A</t>
  </si>
  <si>
    <t>PVM018ER01AS02AAC2811000000A</t>
  </si>
  <si>
    <t>PVM018ER01AE01AAA28000000A0A</t>
  </si>
  <si>
    <t>PVM141ER13JS02AAA23000000A0A</t>
  </si>
  <si>
    <t>PVM045ER05CS02AAC28200000A0A</t>
  </si>
  <si>
    <t>PVM018ER01AE01AAB28110000A0A</t>
  </si>
  <si>
    <t>PVM098ER09GS02AAA28000000A0A</t>
  </si>
  <si>
    <t>PVM018ER01AS02AAA28000000A0A</t>
  </si>
  <si>
    <t>PVM098ER10GS02AAA2300000AA0A</t>
  </si>
  <si>
    <t>PVM098ER09GS02ASA28000000A0A</t>
  </si>
  <si>
    <t>PVM020ER05CS01AAB23110000A0A</t>
  </si>
  <si>
    <t>PVM018ER03AS02AAC28110000A0A</t>
  </si>
  <si>
    <t>PVM045ER06CS02AAC28110000A0A</t>
  </si>
  <si>
    <t>PVM098ER09GS02AAA07000000A0A</t>
  </si>
  <si>
    <t>PVM050ER06CS02AAA0700000CA0A</t>
  </si>
  <si>
    <t>PVM106ER09GS02AAA07000000A0A</t>
  </si>
  <si>
    <t>PVM141ER13GS02AAA0700000EA0A</t>
  </si>
  <si>
    <t>PVM045ER06CS02AAB21110000A0A</t>
  </si>
  <si>
    <t>PVM018ER07CS02AAA2800000AA0A</t>
  </si>
  <si>
    <t>PVM018ER03AS02AAA28000000A0A</t>
  </si>
  <si>
    <t>PVM018ER02AE01AAB25200000A0A</t>
  </si>
  <si>
    <t>PVM141ER11GS02AAA07000000A0A</t>
  </si>
  <si>
    <t>PVM063ER09ES02AAA07000000A0A</t>
  </si>
  <si>
    <t>PVM131ER09GS02AAA28000000A0A</t>
  </si>
  <si>
    <t>PVM098ER11GS02AAA28000000A0A</t>
  </si>
  <si>
    <t>PVM045ER06CS02AAA2800000AA0A</t>
  </si>
  <si>
    <t>PVM098ER09GS02AAE00200000A0A</t>
  </si>
  <si>
    <t>PVM131ER09GS02AAE00200000A0A</t>
  </si>
  <si>
    <t>PVM141ER09GS02AAE00200000A0A</t>
  </si>
  <si>
    <t>PVM018ER07CS01AAC2811000AA0A</t>
  </si>
  <si>
    <t>PVM131ER09GS02AAC23200000A0A</t>
  </si>
  <si>
    <t>PVM020ER02AE01AAA23000000A0A</t>
  </si>
  <si>
    <t>PVM045ER08CS02AAC2811000CA0A</t>
  </si>
  <si>
    <t>PVM018ER02AS01AAC28110000A0A</t>
  </si>
  <si>
    <t>PVM020ER01AE01AAA23000000A0A</t>
  </si>
  <si>
    <t>PVM141ER10GS02AAA23000000A0A</t>
  </si>
  <si>
    <t>PVM098ER10GS02AAA28000000A0A</t>
  </si>
  <si>
    <t>PVM045ER07CS02AAC28110000A0A</t>
  </si>
  <si>
    <t>PVM074ER10GS02AAE0020000EA0A</t>
  </si>
  <si>
    <t>PVM063ER11GS02AAA23000000A0A</t>
  </si>
  <si>
    <t>PVM018ER06CS01AAA2800000AA0A</t>
  </si>
  <si>
    <t>PVM063ER09GS02AAA23000000A0A</t>
  </si>
  <si>
    <t>PVM106ER09GS02AAA23000000A0A</t>
  </si>
  <si>
    <t>PVM057ER09GS02AAE0020000CA0A</t>
  </si>
  <si>
    <t>PVM098ER09GS02AAA2800000CA0A</t>
  </si>
  <si>
    <t>PVM106MR09GS02AAC2320000000A</t>
  </si>
  <si>
    <t>PVM131MR09GS02AAC32200000A0A</t>
  </si>
  <si>
    <t>PVM098ER10GS02AAE0020000E00A</t>
  </si>
  <si>
    <t>PVM074ER11GS02AAE0020000CA0A</t>
  </si>
  <si>
    <t>PVM074ER09GS02AAE0020000AA0A</t>
  </si>
  <si>
    <t>PVM045ER05CE01AAA07000000A0A</t>
  </si>
  <si>
    <t>PVM141ER09GS02AAA2300000CA0A</t>
  </si>
  <si>
    <t>PVM098ER10GS02AAA07000000A0A</t>
  </si>
  <si>
    <t>PVM045ER05CE01AAB28110000A0A</t>
  </si>
  <si>
    <t>PVM098ER10GS02AAB28110000A0A</t>
  </si>
  <si>
    <t>PVM045ER06CS02AAC2820000CA0A</t>
  </si>
  <si>
    <t>PVM098ER09GS04AAC28200000A0A</t>
  </si>
  <si>
    <t>PVM098ER10GS04AAA07000000A0A</t>
  </si>
  <si>
    <t>PVM050ER07CS02AAC0720000AA0A</t>
  </si>
  <si>
    <t>PVM018ER05CS02AAC28110000A0A</t>
  </si>
  <si>
    <t>PVM098ER09GS02AAC28200000A0A</t>
  </si>
  <si>
    <t>PVM131ER10GS02AAC28200000A0A</t>
  </si>
  <si>
    <t>PVM141ER10GS02AAC23200000A0A</t>
  </si>
  <si>
    <t>PVM074ER09GS02AAA2800000CA0A</t>
  </si>
  <si>
    <t>PVM098ER09GS02AAC28110000A0A</t>
  </si>
  <si>
    <t>PVM141ER13GS02AAE00200000A0A</t>
  </si>
  <si>
    <t>PVM141ER13GS02AAA23000000A0A</t>
  </si>
  <si>
    <t>PVM141ER10GS02AAE0020000EA0A</t>
  </si>
  <si>
    <t>PVM141ER11GS02AAE00200000A0A</t>
  </si>
  <si>
    <t>PVM057ER09GS02AAF0020000AA0A</t>
  </si>
  <si>
    <t>PVM045ER06CS02AAC2320000AA0A</t>
  </si>
  <si>
    <t>PVM045ER06CS02AAC2811000DA0A</t>
  </si>
  <si>
    <t>PVM141ER10GS02AAA07000000A0A</t>
  </si>
  <si>
    <t>PVM098ER10GS02AAE0020000EA0A</t>
  </si>
  <si>
    <t>PVM057ER09GS02AAA0700000AA0A</t>
  </si>
  <si>
    <t>PVM050ER07CS01AAB2320000AA0A</t>
  </si>
  <si>
    <t>PVM018ER04AS02AAA28000000A0A</t>
  </si>
  <si>
    <t>PVM131ER12GS02AAA2800000BA0A</t>
  </si>
  <si>
    <t>PVM045ER08CS02AAC28110000A0A</t>
  </si>
  <si>
    <t>PVM106ER10GS02AAF0020000EA0A</t>
  </si>
  <si>
    <t>PVM074ER10GS02AAC2824000EA0A</t>
  </si>
  <si>
    <t>PVM098ER12GS02AAC2824000EA0A</t>
  </si>
  <si>
    <t>PVM045MR07CS02AAC2820000AA0A</t>
  </si>
  <si>
    <t>PVM045ER06CS02AAA2300000CA0A</t>
  </si>
  <si>
    <t>PVM141ER18HS04AAA23000000A0A</t>
  </si>
  <si>
    <t>PVM098MR11GS02AAB28110000A0A</t>
  </si>
  <si>
    <t>PVM131MR11GS02AAC25200000A0A</t>
  </si>
  <si>
    <t>PVM020ER07CS01AAC23110000A0A</t>
  </si>
  <si>
    <t>PVM018ER07CS02AAB28110000A0A</t>
  </si>
  <si>
    <t>PVM045ER07CS02AAC2811000AA0A</t>
  </si>
  <si>
    <t>PVM098MR11GS02AAB2320000EA0A</t>
  </si>
  <si>
    <t>PVM106ER09GS02ASF00200000A0A</t>
  </si>
  <si>
    <t>PVM018ER02AS02AAC28200000A0A</t>
  </si>
  <si>
    <t>PVM020ER05CS02AAC23110000A0A</t>
  </si>
  <si>
    <t>PVM098ER11GS02AAF00200000A0A</t>
  </si>
  <si>
    <t>PVM098ER11GS02AAC2824000CA0A</t>
  </si>
  <si>
    <t>PVM074MR09GS02AAC2320000CA0A</t>
  </si>
  <si>
    <t>PVM063ER09ES02AAC23200000A0A</t>
  </si>
  <si>
    <t>PVM141ER10GS02AAF00200000A0A</t>
  </si>
  <si>
    <t>PVM045ER07CS02AAA2800000AA0A</t>
  </si>
  <si>
    <t>PVM106ER09GS02AAC23200000A0A</t>
  </si>
  <si>
    <t>PVM098MR09GS02AAC25200000A0A</t>
  </si>
  <si>
    <t>PVM106ER10GS02AAE0020000EA0A</t>
  </si>
  <si>
    <t>PVM018ER01AS02BJC07200000A0A</t>
  </si>
  <si>
    <t>PVM074ER11GS02AAC2824000EA0A</t>
  </si>
  <si>
    <t>PVM057ER09ES02AAC2611000CA0A</t>
  </si>
  <si>
    <t>PVM063ER09ES02AAC2611000CA0A</t>
  </si>
  <si>
    <t>PVM131MR11GS02AAC26240000A0A</t>
  </si>
  <si>
    <t>PVM045ER05CE0200C28110000A0A</t>
  </si>
  <si>
    <t>PVM098ER09GS02AAL25202400A0A</t>
  </si>
  <si>
    <t>PVM106ER09GS02AAL23205000A0A</t>
  </si>
  <si>
    <t>PVM018ER01AS02AAC28110000A0A</t>
  </si>
  <si>
    <t>PVM131ER09GS02AAL26246500A0A</t>
  </si>
  <si>
    <t>PVM018ER07CE01AAW28RP0000A0A</t>
  </si>
  <si>
    <t>PVM020ER07CE01AAW23RP0000A0A</t>
  </si>
  <si>
    <t>PVM045ER07CE01AAW28RP0000A0A</t>
  </si>
  <si>
    <t>PVM050ER07CE01AAW23RP0000A0A</t>
  </si>
  <si>
    <t>PVM045ER05CE01AAW28RP0000A0A</t>
  </si>
  <si>
    <t>PVM045EL07CS02AAA28000000A0A</t>
  </si>
  <si>
    <t>PVM141ER09GS02AAL1520200AA0A</t>
  </si>
  <si>
    <t>PVM141ER09GS02AAL23243800A0A</t>
  </si>
  <si>
    <t>PVM131ER09GS02AAL25245500A0A</t>
  </si>
  <si>
    <t>PVM098ER10GS02AAF0020000EA0A</t>
  </si>
  <si>
    <t>PVM057ER09ES02AAC2811000CA0A</t>
  </si>
  <si>
    <t>PVM063ER09ES02AAC2311000CA0A</t>
  </si>
  <si>
    <t>PVM098ER09GS02AAC28200000AGA</t>
  </si>
  <si>
    <t>PVM045ER06CS02AAC28200000AGA</t>
  </si>
  <si>
    <t>PVM074ER10GS02AAC2820000EA0A</t>
  </si>
  <si>
    <t>PVM045ER06CS02AAC2820000AA0A</t>
  </si>
  <si>
    <t>PVM018ER02AS02AAW28RP0000A0A</t>
  </si>
  <si>
    <t>PVM098MR09GS02AAC28200000A0A</t>
  </si>
  <si>
    <t>PVM131MR09GS02AAC28200000A0A</t>
  </si>
  <si>
    <t>PVM098ER09GS02AAL28206000A0A</t>
  </si>
  <si>
    <t>PVM141MR14JS02AAA0700000CA0A</t>
  </si>
  <si>
    <t>PVM045ER05CS02ASA07000000A0A</t>
  </si>
  <si>
    <t>PVM074ER11GS02ASA2800000CA0A</t>
  </si>
  <si>
    <t>PVM045ER05CS02AAW28240000A0A</t>
  </si>
  <si>
    <t>PVM074ER10GS02ASC2820000AA0A</t>
  </si>
  <si>
    <t>PVM098ER09GS02BJC07200000A0A</t>
  </si>
  <si>
    <t>PVM045ER06CS02BJA28000000A0A</t>
  </si>
  <si>
    <t>PVM131ER09GS02BJC07200000A0A</t>
  </si>
  <si>
    <t>PVM018ER07CS02AAC2811000AA0A</t>
  </si>
  <si>
    <t>PVM074ER10GS02AAC2811000CA0A</t>
  </si>
  <si>
    <t>PVM141ER09GS02BJC07200000A0A</t>
  </si>
  <si>
    <t>PVM057ER09GS02AAL28205000A0A</t>
  </si>
  <si>
    <t>PVQ20-B2R-A9-SS1S-21-CM7-12</t>
  </si>
  <si>
    <t>PVQ20-B2R-A9-SS1S-21-C21V11B-13</t>
  </si>
  <si>
    <t>PVQ20-B2R-A9-SS1S-21-C21-12</t>
  </si>
  <si>
    <t>PVQ20-B2L-SE1S-21-C21-12</t>
  </si>
  <si>
    <t>PVQ20-B2R-SS1S-21-CM7-12</t>
  </si>
  <si>
    <t>PVQ20-B2R-SE1S-21-C21-12</t>
  </si>
  <si>
    <t>PVQ20-B2R-SE1S-21-C21D-12</t>
  </si>
  <si>
    <t>PVQ20-B2R-SE1S-21-C21D-12-S</t>
  </si>
  <si>
    <t>PVQ20-B2R-SE1S-21-C21V11B-13</t>
  </si>
  <si>
    <t>PVQ20-B2R-SE1S-21-CM7-12</t>
  </si>
  <si>
    <t>PVQ20-B2R-SE3S-21-C21-12</t>
  </si>
  <si>
    <t>PVQ20-B2R-SS1S-21-CD21D-21</t>
  </si>
  <si>
    <t>PVQ20-B2R-SE1S-21-CM7D-12</t>
  </si>
  <si>
    <t>PVQ20-B2R-SS1S-21-C21-12</t>
  </si>
  <si>
    <t>PVQ20-B2R-SS3S-21-C21-12</t>
  </si>
  <si>
    <t>PVQ20-B2R-SS3S-21-CG-30</t>
  </si>
  <si>
    <t>PVQ20-B2R-SE1S-21-CG-30</t>
  </si>
  <si>
    <t>PVQ10-A2R-SE1S-20-C21-12</t>
  </si>
  <si>
    <t>PVQ10-A2R-SE1S-20-C21D-12</t>
  </si>
  <si>
    <t>PVQ10-A2R-SE1S-20-C21D-12-S</t>
  </si>
  <si>
    <t>PVQ10-A2R-SE1S-20-C21V11B-13</t>
  </si>
  <si>
    <t>PVQ10-A2R-SE1S-20-CG-30</t>
  </si>
  <si>
    <t>PVQ10-A2R-SE1S-20-CG-30-S</t>
  </si>
  <si>
    <t>PVQ10-A2R-SE1S-20-CGD-30</t>
  </si>
  <si>
    <t>PVQ10-A2R-SE1S-20-CM7-12</t>
  </si>
  <si>
    <t>PVQ10-A2R-SE1S-20-CM7D-12</t>
  </si>
  <si>
    <t>PVQ10-A2R-SE3S-20-C21-12</t>
  </si>
  <si>
    <t>PVQ10-A2R-SE3S-20-C21D-12</t>
  </si>
  <si>
    <t>PVQ10-A2R-SE3S-20-CG-30</t>
  </si>
  <si>
    <t>PVQ10-A2R-SS1S-20-C21-12</t>
  </si>
  <si>
    <t>PVQ10-A2R-SS1S-20-C21V11B-13</t>
  </si>
  <si>
    <t>PVQ10-A2R-SS1S-20-CG-30</t>
  </si>
  <si>
    <t>PVQ10-A2R-SS1S-20-CM7-12</t>
  </si>
  <si>
    <t>PVQ10-A2R-SS1S-20-CM7D-12</t>
  </si>
  <si>
    <t>PVQ10-A2R-SS3S-20-C21D-12</t>
  </si>
  <si>
    <t>PVQ10-A2L-SE1S-20-C21-12</t>
  </si>
  <si>
    <t>PVQ10-A2L-SE1S-20-C21D-12</t>
  </si>
  <si>
    <t>PVQ10-A2L-SS1S-20-C21-12</t>
  </si>
  <si>
    <t>PVQ13-A2R-SS1S-20-C14D-12</t>
  </si>
  <si>
    <t>PVQ13-A2R-SS1S-20-C14-12</t>
  </si>
  <si>
    <t>PVQ13-A2R-SS1S-20-CM7-12</t>
  </si>
  <si>
    <t>PVQ13-A2L-SS1S-20-CM7-12</t>
  </si>
  <si>
    <t>PVQ13-A2R-SE1F-20-CM7-12</t>
  </si>
  <si>
    <t>PVQ13-A2R-SE1S-20-C14-12</t>
  </si>
  <si>
    <t>PVQ13-A2R-SE1S-20-C14D-12</t>
  </si>
  <si>
    <t>PVQ13-A2R-SE1S-20-CG-30</t>
  </si>
  <si>
    <t>PVQ13-A2R-SE1S-20-CG-30-S</t>
  </si>
  <si>
    <t>PVQ13-A2R-SE1S-20-CM7-12</t>
  </si>
  <si>
    <t>PVQ13-A2R-SE1S-20-CM7D-12</t>
  </si>
  <si>
    <t>PVQ13-A2R-SE3S-20-C14-12</t>
  </si>
  <si>
    <t>PVQ13-A2L-SS3S-20-CM7-12</t>
  </si>
  <si>
    <t>PVQ13-A2L-SS1S-20-C14-12</t>
  </si>
  <si>
    <t>PVQ13-A2L-SE3S-20-C14-12</t>
  </si>
  <si>
    <t>PVQ13-A2L-SE1S-20-CM7-12</t>
  </si>
  <si>
    <t>PVQ13-A2L-SE1S-20-C14-12</t>
  </si>
  <si>
    <t>PVQ32-B2R-A9-SS1S-21-CG-30</t>
  </si>
  <si>
    <t>PVQ32-B2R-A9-SS1S-21-C14-12</t>
  </si>
  <si>
    <t>PVQ32-MBR-SSNS-21-CM7-12</t>
  </si>
  <si>
    <t>PVQ32-B2R-SS3S-21-CM7-12</t>
  </si>
  <si>
    <t>PVQ32-B2R-SS3S-21-C14-12</t>
  </si>
  <si>
    <t>PVQ32-B2R-SS1S-21-C14-12</t>
  </si>
  <si>
    <t>PVQ32-B2R-SE3S-21-C14-12</t>
  </si>
  <si>
    <t>PVQ32-B2R-SE1S-21-CG-30</t>
  </si>
  <si>
    <t>PVQ32-B2R-SE1S-21-C14V11B-13</t>
  </si>
  <si>
    <t>PVQ32-B2R-SE1S-21-C14-12</t>
  </si>
  <si>
    <t>PVQ32-B2R-SE1S-21-C14D-12</t>
  </si>
  <si>
    <t>PVQ32-B2R-SE1S-21-CM7-12</t>
  </si>
  <si>
    <t>PVQ32-B2R-SS1S-21-CM7-12</t>
  </si>
  <si>
    <t>PVQ32-B2R-SE3S-21-CM7-12</t>
  </si>
  <si>
    <t>PVQ32-B2R-SE1S-21-CM7D-12</t>
  </si>
  <si>
    <t>PVQ32-B2L-SE1S-21-CM7-12</t>
  </si>
  <si>
    <t>PVQ32-B2L-SE1S-21-C14-12</t>
  </si>
  <si>
    <t>PVQ45AR01AB10G1800000100100CD0A</t>
  </si>
  <si>
    <t>PVQ45AR02AB10H181100A100100CD0A</t>
  </si>
  <si>
    <t>PVQ45AR01AB10G0700000100100CD0A</t>
  </si>
  <si>
    <t>PVQ45AR01AB10G1800000200100CD0A</t>
  </si>
  <si>
    <t>PVQ45AR01AA10G1800000100100CD0A</t>
  </si>
  <si>
    <t>PVQ45AR02AA10G3000000100100CD0A</t>
  </si>
  <si>
    <t>PVQ45AR02AA10G18000001AE100CD0A</t>
  </si>
  <si>
    <t>PVQ40AR10AA10G0700000100100CD0A</t>
  </si>
  <si>
    <t>PVQ40AR02AB10G2100000100100CD0A</t>
  </si>
  <si>
    <t>PVQ40AR01AB10J0200000100100CD0A</t>
  </si>
  <si>
    <t>PVQ40AR08AA10H211100A100100CD0A</t>
  </si>
  <si>
    <t>PVQ40AR01AA10G0700000100100CD0A</t>
  </si>
  <si>
    <t>PVQ40AR08AA10G2100000100100CD0A</t>
  </si>
  <si>
    <t>PVQ40AR01AA10G2100000100100CD0A</t>
  </si>
  <si>
    <t>PVQ40AR02AA10H211100A100100CD0A</t>
  </si>
  <si>
    <t>PVQ40AR01AB10G0700000100100CD0A</t>
  </si>
  <si>
    <t>PVQ40AR01AB10G2100000200100CD0A</t>
  </si>
  <si>
    <t>PVQ40AR01AB10G2100000100100CD0A</t>
  </si>
  <si>
    <t>PVQ40AR02AA10G2100000100100CD0A</t>
  </si>
  <si>
    <t>PVQ40AR02AA10G2100000200100CD0A</t>
  </si>
  <si>
    <t>PVQ40AR01AB10H211100A100100CD0A</t>
  </si>
  <si>
    <t>PVQ40AR05AA10G2100000100100CD0A</t>
  </si>
  <si>
    <t>PVQ40AR02AA10H211100A1AE100CD0A</t>
  </si>
  <si>
    <t>PVQ40AR02AA10G21000001AE100CD0A</t>
  </si>
  <si>
    <t>PVQ13-A2R-SE1S-20-C14V11B-13</t>
  </si>
  <si>
    <t>PVQ45AR01AB10H1811000100100CD0A</t>
  </si>
  <si>
    <t>PVQ20-B2L-SE3S-21-C21-12</t>
  </si>
  <si>
    <t>PVQ40AR08AA10H211100A400100CD0A</t>
  </si>
  <si>
    <t>PVQ10-A2R-SE1S-20-C21-12-S</t>
  </si>
  <si>
    <t>PVQ20-B2R-SE1S-21-CG-30-S</t>
  </si>
  <si>
    <t>PVQ40AR01AB10H211100A200100CD0A</t>
  </si>
  <si>
    <t>PVQ20-B2R-SE1S-21-C21V11B-13-S</t>
  </si>
  <si>
    <t>PVQ20-B2R-SE1S-21-C21V11P-13-S</t>
  </si>
  <si>
    <t>PVQ10-A2R-SS1S-20-C21D-12</t>
  </si>
  <si>
    <t>PVQ20-B2R-SE1S-21-C21V11PD-13</t>
  </si>
  <si>
    <t>PVQ40AR01AA10H2111000200100CD0A</t>
  </si>
  <si>
    <t>PVQ20-B2R-SS1S-21-C21V11B-13</t>
  </si>
  <si>
    <t>PVQ13-A2R-SE1S-20-CM7-12-S</t>
  </si>
  <si>
    <t>PVQ20-B2R-SE3S-21-CG-30</t>
  </si>
  <si>
    <t>PVQ40AR02AA10J01000001AE100CD0A</t>
  </si>
  <si>
    <t>PVQ40AR02AA10H211100A1AA100CD0A</t>
  </si>
  <si>
    <t>PVQ20-B2R-SE1S-21-CGD-30</t>
  </si>
  <si>
    <t>PVQ32-B2R-SE1S-21-CGD-30</t>
  </si>
  <si>
    <t>PVQ40AR01AB10H2111000100100CD0A</t>
  </si>
  <si>
    <t>PVQ20-B2R-SE3S-21-C21D-12</t>
  </si>
  <si>
    <t>PVQ40AR02AA10J01000001AA100CD0A</t>
  </si>
  <si>
    <t>PVQ20-B2R-A9-SS1S-21-CG-30</t>
  </si>
  <si>
    <t>PVQ40AL02AA10G2100000100100CD0A</t>
  </si>
  <si>
    <t>PVQ40AR05AA10H2111000100100CD0A</t>
  </si>
  <si>
    <t>PVQ40AR02AA10G07000001AA100CD0A</t>
  </si>
  <si>
    <t>PVQ40AR01AA10J0100000100100CD0A</t>
  </si>
  <si>
    <t>PVQ40AR05AA10G2100000200100CD0A</t>
  </si>
  <si>
    <t>PVQ40AR02AA10J0100000100100CD0A</t>
  </si>
  <si>
    <t>PVQ40AR01AB10G0700000200100CD0A</t>
  </si>
  <si>
    <t>PVQ20-B2R-SS1S-21-C21D-12</t>
  </si>
  <si>
    <t>PVQ10-A2R-SE1S-20-C21V11P-13</t>
  </si>
  <si>
    <t>PVQ20-B2R-SS1S-21-CG-30</t>
  </si>
  <si>
    <t>PVQ40AR01AA10G2100000200100CD0A</t>
  </si>
  <si>
    <t>PVQ40AR01AB30G2100000100100CD0A</t>
  </si>
  <si>
    <t>PVQ10-A2R-SE1F-20-CM7-12</t>
  </si>
  <si>
    <t>PVQ40AR02AA10H2111000100100CD0A</t>
  </si>
  <si>
    <t>PVQ20-B2R-SE28S-21-C21-12</t>
  </si>
  <si>
    <t>PVQ10-A2R-SE1F-20-C21D-12</t>
  </si>
  <si>
    <t>PVQ40AL01AA10G2100000100100CD0A</t>
  </si>
  <si>
    <t>PVQ20-B2R-SS1S-21-CGD-30</t>
  </si>
  <si>
    <t>PVQ45AR02AA10H181100A100100CD0A</t>
  </si>
  <si>
    <t>PVQ10-A2R-SE1S-20-C21V11BD-13</t>
  </si>
  <si>
    <t>PVQ32-B2R-SE1S-21-CM7-12-S</t>
  </si>
  <si>
    <t>PVQ20-B2R-SE1S-21-C21V11P-13</t>
  </si>
  <si>
    <t>PVQ20-B2R-SE1S-21-C21-12-S</t>
  </si>
  <si>
    <t>PVQ20-B2L-SE1S-21-C21V11B-13</t>
  </si>
  <si>
    <t>PVQ20-B2R-SE3S-21-C21V11B-13</t>
  </si>
  <si>
    <t>PVQ20-B2R-SS3S-21-C21D-12</t>
  </si>
  <si>
    <t>PVQ32-B2R-SS1S-21-CG-30-S</t>
  </si>
  <si>
    <t>PVQ20-B2R-SE1S-21-C21V11BD-13</t>
  </si>
  <si>
    <t>PVQ32-B2R-SS1S-21-CM7D-12</t>
  </si>
  <si>
    <t>PVQ20-B2R-SS1S-21-C21V11PD-13-S</t>
  </si>
  <si>
    <t>PVQ10-A2R-SE1S-20-C21V11P-13-S</t>
  </si>
  <si>
    <t>PVQ40AR08AA10G2100000200100CD0A</t>
  </si>
  <si>
    <t>PVQ40AL01AB10G2100000200100CD0A</t>
  </si>
  <si>
    <t>PVQ40AL02AA10H211100A100100CD0A</t>
  </si>
  <si>
    <t>PVQ40AR01AA30J0100000100000CD0A</t>
  </si>
  <si>
    <t>PVQ45AR05AB10G1800000200100CD0A</t>
  </si>
  <si>
    <t>PVQ45AR01AA30H211100A100100CD0A</t>
  </si>
  <si>
    <t>PVQ40AR02AB10H211100A100100CD0A</t>
  </si>
  <si>
    <t>PVQ40AR01AA10J0100000200100CD0A</t>
  </si>
  <si>
    <t>PVQ45AL01AA10H191100A100100CD0A</t>
  </si>
  <si>
    <t>PVQ20-B2R-SE1S-21-CM7-12-S</t>
  </si>
  <si>
    <t>PVQ32-B2R-SE1S-21-C14D-12-S</t>
  </si>
  <si>
    <t>V20-1B11B-62A-11-R-EN1000</t>
  </si>
  <si>
    <t>V20-1B11B-62C-11-L-EN1000</t>
  </si>
  <si>
    <t>V20-1B8B-62A-11-R-EN1000</t>
  </si>
  <si>
    <t>V20-1B9B-62A-11-R-EN1000</t>
  </si>
  <si>
    <t>V20-1B9B-62C-11-R-EN1000</t>
  </si>
  <si>
    <t>V20-1B13B-62A-11-R-EN1000</t>
  </si>
  <si>
    <t>V20-1B13B-62C-11-R-EN1000</t>
  </si>
  <si>
    <t>V2010-1F11B3B-11CC-12</t>
  </si>
  <si>
    <t>V20F-1P11P-38C10G-22-R</t>
  </si>
  <si>
    <t>V20F-1P6P-38C8H-22-R</t>
  </si>
  <si>
    <t>V20F-1P8P-23C10F-22-L</t>
  </si>
  <si>
    <t>V20F-1S11S-1C8D-22-R</t>
  </si>
  <si>
    <t>V20F-1S11S-11C8G-22-L</t>
  </si>
  <si>
    <t>V2020-1F9B8B-1AA-30-R</t>
  </si>
  <si>
    <t>V2010-1F11B5B-1AA-12-R</t>
  </si>
  <si>
    <t>V2010-1F7B3B-1AA-12-R</t>
  </si>
  <si>
    <t>V2010-1F7B3B-1CC-12-R</t>
  </si>
  <si>
    <t>V2010-1F9B5B-1AA-12-R</t>
  </si>
  <si>
    <t>V2010-1F9B5B-1CC-12-R</t>
  </si>
  <si>
    <t>V2010-1F13B4B-1AA-12-R</t>
  </si>
  <si>
    <t>V2010-1F13B4B-1AD-12-R</t>
  </si>
  <si>
    <t>V2010-1F13B4B-1CC-12-R</t>
  </si>
  <si>
    <t>V2010-1F13B6B-1AD-12</t>
  </si>
  <si>
    <t>V2010-1F11B4B-1AA-12-R</t>
  </si>
  <si>
    <t>V2010-1F12B5B-1AA-12</t>
  </si>
  <si>
    <t>V2010-1F7B6B-1AA-12-R</t>
  </si>
  <si>
    <t>V2020-1F13B8B-1CC-30-R</t>
  </si>
  <si>
    <t>V2020-1F13B7B-1AA-30-R</t>
  </si>
  <si>
    <t>V2020-1F13B7B-1CC-30-R</t>
  </si>
  <si>
    <t>V2020-1F13B11B-100AA-30-R</t>
  </si>
  <si>
    <t>V2020-1F13B11B-100AA-30-L</t>
  </si>
  <si>
    <t>V2020-1F11B9B-1AA-30-R</t>
  </si>
  <si>
    <t>V20F-1P9P-3C6J-22-R</t>
  </si>
  <si>
    <t>V2010 1F12B7B 1CC12</t>
  </si>
  <si>
    <t>V2010-1F12B2B-1AD-12-R</t>
  </si>
  <si>
    <t>V2010-1F12B2B-1CC-12-R</t>
  </si>
  <si>
    <t>V20-1B7B-62A-11-R-EN1000</t>
  </si>
  <si>
    <t>V2010-1F7B4B-1AA-12-R</t>
  </si>
  <si>
    <t>V2010-1F7B4B-1CC-12-R</t>
  </si>
  <si>
    <t>V2020-1F11B7B-1AA-30-R</t>
  </si>
  <si>
    <t>V2010-1F12B4B-1AA-12-R</t>
  </si>
  <si>
    <t>V10-1P1S-11C-20-R</t>
  </si>
  <si>
    <t>V2020-1F9B7B-1CC-30-R</t>
  </si>
  <si>
    <t>V2010-1F7B7B-1CC-12R</t>
  </si>
  <si>
    <t>V10-1B5B-41B-20-L</t>
  </si>
  <si>
    <t>V10-1B5B-41B-20-R</t>
  </si>
  <si>
    <t>V10-1B5B-41D-20-R</t>
  </si>
  <si>
    <t>V10-1B5B-41B-20-L-090</t>
  </si>
  <si>
    <t>V10-1B5B-41D-20-090</t>
  </si>
  <si>
    <t>V10-1B5B-41D-20-L-090</t>
  </si>
  <si>
    <t>V2010-1F11B2B-11CC-12-R</t>
  </si>
  <si>
    <t>F3-V20F-1D11S-38D8H-22-R</t>
  </si>
  <si>
    <t>V10-1B1B-11A-20</t>
  </si>
  <si>
    <t>V20-1S13S-38C-11-R-063</t>
  </si>
  <si>
    <t>V20-1B5B-1C-11-R</t>
  </si>
  <si>
    <t xml:space="preserve">PIN  </t>
  </si>
  <si>
    <t>V20-1P9P-1A-11-R</t>
  </si>
  <si>
    <t>V20-1P9P-1C-11-R</t>
  </si>
  <si>
    <t>V20-1S11S-1A-11-R</t>
  </si>
  <si>
    <t>V20-1P13S-11C-11-L</t>
  </si>
  <si>
    <t>V20-1P8S-1C-11-R</t>
  </si>
  <si>
    <t>V20-1P6S-1A-11-R</t>
  </si>
  <si>
    <t>V20-1P6S-1C-11</t>
  </si>
  <si>
    <t>V20-1P9S-11C-11</t>
  </si>
  <si>
    <t>V20-1P11S-1A-11-R</t>
  </si>
  <si>
    <t>V20-1P11S-1C-11-R</t>
  </si>
  <si>
    <t xml:space="preserve">V20-1P13S-1A-11-L </t>
  </si>
  <si>
    <t>V20-1P13S-1C-11-R</t>
  </si>
  <si>
    <t>V20-1S13S-1C-11-R</t>
  </si>
  <si>
    <t>V20-1S13S-1C-11-L</t>
  </si>
  <si>
    <t>V20-1S8S-1A-11-R</t>
  </si>
  <si>
    <t>V20-1S8S-1C-11-R</t>
  </si>
  <si>
    <t>V20-1P11S-11C-11</t>
  </si>
  <si>
    <t>V20-1P9S-1A-11-R</t>
  </si>
  <si>
    <t>V20-1P9S-1C-11-R</t>
  </si>
  <si>
    <t>V20-1S11S-15C-11-R</t>
  </si>
  <si>
    <t>V20-1S13S-15C-11-R</t>
  </si>
  <si>
    <t>V20-1P11P-1A-11-R</t>
  </si>
  <si>
    <t>V20-1P11P-1B-11-R</t>
  </si>
  <si>
    <t>V20-1P11P-1C-11-R</t>
  </si>
  <si>
    <t>V20-1P8P-1A-11-R</t>
  </si>
  <si>
    <t>V20-1P8P-1B-11-R</t>
  </si>
  <si>
    <t>V20-1P8P-1C-11-R</t>
  </si>
  <si>
    <t>V20-1P8P-1D-11-R</t>
  </si>
  <si>
    <t>V20-1P8S-11C-11</t>
  </si>
  <si>
    <t>V20-1S13S-6D-11-L</t>
  </si>
  <si>
    <t>V20-1P13P-11C-11-R</t>
  </si>
  <si>
    <t>V10-1P1P-1A-20</t>
  </si>
  <si>
    <t>V10-1P1P-1C-20</t>
  </si>
  <si>
    <t>V10-1P1P-1C-20-L</t>
  </si>
  <si>
    <t>V20-1P13P-6D-11</t>
  </si>
  <si>
    <t>V10-1P7P-11D-20-L</t>
  </si>
  <si>
    <t>V10-1S2S-1C-20</t>
  </si>
  <si>
    <t>V10-1S2S-11D-20</t>
  </si>
  <si>
    <t>V10-1S3S-11A-20</t>
  </si>
  <si>
    <t>V10-1S4S-1A-20</t>
  </si>
  <si>
    <t>V10-1S4S-1C-20-L</t>
  </si>
  <si>
    <t>V10-1S5S-1C-20</t>
  </si>
  <si>
    <t>V10-1P2P-1A-20</t>
  </si>
  <si>
    <t>V10-1P2P-1C-20</t>
  </si>
  <si>
    <t xml:space="preserve">V10-1P2S-1A-20  </t>
  </si>
  <si>
    <t>V10-1P2S-1C20-L</t>
  </si>
  <si>
    <t>V10-1P3P-1A-20</t>
  </si>
  <si>
    <t xml:space="preserve">V10-1P3P-1B-20  </t>
  </si>
  <si>
    <t>V10-1P3P-1B-20-L</t>
  </si>
  <si>
    <t>V10-1P3P-1C-20</t>
  </si>
  <si>
    <t>V10-1P3P-1D-20-R</t>
  </si>
  <si>
    <t>V10-1P3S-1C-20-L</t>
  </si>
  <si>
    <t>V10-1P3S-11C-20-R</t>
  </si>
  <si>
    <t>V10-1P4P-1A-20</t>
  </si>
  <si>
    <t xml:space="preserve">V10 1P4P 1B 20  </t>
  </si>
  <si>
    <t>V10-1P4P-1C-20</t>
  </si>
  <si>
    <t>V10-1P4P-1D-20</t>
  </si>
  <si>
    <t>V10-1P4S-11C-20-R</t>
  </si>
  <si>
    <t>V10-1P5P-1A-20</t>
  </si>
  <si>
    <t>V10-1P5P-1C-20</t>
  </si>
  <si>
    <t>V10-1P5P-1C-20-L</t>
  </si>
  <si>
    <t>V10-1P6P-1C-20</t>
  </si>
  <si>
    <t>V10-1P7P-1C-20</t>
  </si>
  <si>
    <t>V10-1P7S-1C-20-L</t>
  </si>
  <si>
    <t>V10-1P1S-1C20-L</t>
  </si>
  <si>
    <t>V10-1P6S-11C-20-R</t>
  </si>
  <si>
    <t>VTM42-60-75-20-ME-R1-15</t>
  </si>
  <si>
    <t>VTM42-40-75-15-NO-R1-15</t>
  </si>
  <si>
    <t>VTM42-50-35-20-ME-R1-15</t>
  </si>
  <si>
    <t>VTM42-40-35-10-NO-R1-15</t>
  </si>
  <si>
    <t>VTM42-60-75-20-NO-R1-15</t>
  </si>
  <si>
    <t>VTM42-50-30-20-MF-R1-15</t>
  </si>
  <si>
    <t>VTM42-40-75-20-NO-R1-15</t>
  </si>
  <si>
    <t>V10-1P5S-11C-20-R</t>
  </si>
  <si>
    <t>VTM42-60-60-12-NO-R1-15</t>
  </si>
  <si>
    <t>VTM42-40-35-20-NO-L1-15</t>
  </si>
  <si>
    <t>VTM42-40-35-20-NO-R1-15</t>
  </si>
  <si>
    <t>VTM42-60-75-20-F-11-R1-15</t>
  </si>
  <si>
    <t>VTM42-60-50-15-F-11-R1-15</t>
  </si>
  <si>
    <t>VTM42-40-50-12-F-11-R1-15</t>
  </si>
  <si>
    <t>V10-1S4S-11A-20</t>
  </si>
  <si>
    <t xml:space="preserve">F3-V10-1P1P-1A-20  </t>
  </si>
  <si>
    <t>V20-1P12P-1C-11-R</t>
  </si>
  <si>
    <t>VTM42-60-50-20-NO-R1-15</t>
  </si>
  <si>
    <t>VTM42-50-50-20-NO-R1-15</t>
  </si>
  <si>
    <t>V20-1P7S-1A-11-R</t>
  </si>
  <si>
    <t>V10-1P6S-1C-20-L</t>
  </si>
  <si>
    <t xml:space="preserve">V10-1P4S-1A-20  </t>
  </si>
  <si>
    <t>V10-1P4S-1C-20-L</t>
  </si>
  <si>
    <t>VTM42-40-30-10-NO-R1-15</t>
  </si>
  <si>
    <t>V20-1S12S-1C-11-R</t>
  </si>
  <si>
    <t>VTM42-40-35-07-NO-L1-15</t>
  </si>
  <si>
    <t>VTM42-50-40-20-NO-R1-15</t>
  </si>
  <si>
    <t>VTM42-60-60-17-ME-R1-15</t>
  </si>
  <si>
    <t>VTM42-60-60-15-NO-R1-15</t>
  </si>
  <si>
    <t>VTM42-60-60-12-F-11-R1-15</t>
  </si>
  <si>
    <t>VTM42-15-30-07-NO-R1-15</t>
  </si>
  <si>
    <t>VTM42-50-75-10-NO-R1-15</t>
  </si>
  <si>
    <t>VTM42-40-25-17-F-11-R1-15</t>
  </si>
  <si>
    <t>VTM42-50-35-12-NO-R1-15</t>
  </si>
  <si>
    <t>VTM42-50-20-20-ME-R1-15</t>
  </si>
  <si>
    <t>F3-V20-1P13P-1C-11-R</t>
  </si>
  <si>
    <t xml:space="preserve">TDV10D-07C62010L  </t>
  </si>
  <si>
    <t>VTM42-20-15-10-NO-L1-15</t>
  </si>
  <si>
    <t>VTM42-20-15-10-NO-R1-15</t>
  </si>
  <si>
    <t>VTM42-40-25-17-NO-R1-15</t>
  </si>
  <si>
    <t>VTM42-50-40-15-NO-R1-15</t>
  </si>
  <si>
    <t>VTM42-50-30-12-F-07-R1-15</t>
  </si>
  <si>
    <t>V20 1S13S 38A11</t>
  </si>
  <si>
    <t>V20-1P7S-11C-11</t>
  </si>
  <si>
    <t>V10F 1S4T 1C2G 20 R</t>
  </si>
  <si>
    <t>VTM42-40-30-15-NO-R1-15</t>
  </si>
  <si>
    <t>VTM42-20-75-15-NO-R1-15</t>
  </si>
  <si>
    <t>VTM42-40-25-12-ME-R1-15</t>
  </si>
  <si>
    <t>VTM42-60-65-15-MF-R1-15</t>
  </si>
  <si>
    <t>V10-1B2B-38C-20</t>
  </si>
  <si>
    <t>V201B8B11A11EN1000</t>
  </si>
  <si>
    <t>V10-1B3B-11C-20</t>
  </si>
  <si>
    <t>V20-1B13B-3C-11-R-EN1000</t>
  </si>
  <si>
    <t>V20-1B6B-11C-11-R-EN1000</t>
  </si>
  <si>
    <t>V20-1B11B-11C-11-R-EN1000</t>
  </si>
  <si>
    <t>F3-V20-1S11S-1C11</t>
  </si>
  <si>
    <t>VTM42-20-25-17-NO-R1-15</t>
  </si>
  <si>
    <t>VTM42-60-60-17-F11-L1-15</t>
  </si>
  <si>
    <t>F3-V10-1P5S-1C-20-L</t>
  </si>
  <si>
    <t>VTM42-10-60-07-NO-R1-15</t>
  </si>
  <si>
    <t>V10-1P7P-38C-20</t>
  </si>
  <si>
    <t>V10-1P7P-38D-20-R</t>
  </si>
  <si>
    <t>V10-1P2S-11C-20-R</t>
  </si>
  <si>
    <t>V10-1P4P-38A-20</t>
  </si>
  <si>
    <t>V20-1B8B-1A-11-R-EN1000</t>
  </si>
  <si>
    <t>V20-1B8B-1A-11-L-EN1000</t>
  </si>
  <si>
    <t>V20-1B8B-1B-11-R-EN1000</t>
  </si>
  <si>
    <t>V20-1B8B-1C-11-R-EN1000</t>
  </si>
  <si>
    <t>V20-1B8B-1D-11-R-EN1000</t>
  </si>
  <si>
    <t>V20-1B11B-1A-11-R-EN1000</t>
  </si>
  <si>
    <t>V20-1B11B-1A-11-L-EN1000</t>
  </si>
  <si>
    <t>V20-1B11B-1B-11-R-EN1000</t>
  </si>
  <si>
    <t>V20-1B11B-1B-11-L-EN1000</t>
  </si>
  <si>
    <t>V20-1B11B-1C-11-R-EN1000</t>
  </si>
  <si>
    <t>V20-1B13B-1A-11-R-EN1000</t>
  </si>
  <si>
    <t>V20-1B13B-1A-11-L-EN1000</t>
  </si>
  <si>
    <t>V20-1B13B-1B-11-R-EN1000</t>
  </si>
  <si>
    <t>V20-1B13B-1C-11-R-EN1000</t>
  </si>
  <si>
    <t>V20-1B6B-1A-11-R-EN1000</t>
  </si>
  <si>
    <t>V20-1B6B-1B-11-R-EN1000</t>
  </si>
  <si>
    <t>V20-1B6B-1C-11-R-EN1000</t>
  </si>
  <si>
    <t>V20-1B6B-1D-11-R-EN1000</t>
  </si>
  <si>
    <t>V20-1B9B-1A-11-R-EN1000</t>
  </si>
  <si>
    <t>V20-1B9B-1A-11-L-EN1000</t>
  </si>
  <si>
    <t>V20-1B9B-1B-11-R-EN1000</t>
  </si>
  <si>
    <t>V20-1B9B-1C-11-R-EN1000</t>
  </si>
  <si>
    <t>V20-1B9B-1D-11-R-EN1000</t>
  </si>
  <si>
    <t>V10-1B5B-1A-20</t>
  </si>
  <si>
    <t>V10-1B5B-1A-20-L</t>
  </si>
  <si>
    <t>V10-1B5B-1B-20</t>
  </si>
  <si>
    <t>V10-1B5B-1C-20</t>
  </si>
  <si>
    <t>V10-1B2B-1A-20</t>
  </si>
  <si>
    <t>V10-1B2B-1A-20-L</t>
  </si>
  <si>
    <t>V10-1B2B-1B-20</t>
  </si>
  <si>
    <t>V10-1B2B-1C-20</t>
  </si>
  <si>
    <t>V10 1B2B 1C 20L</t>
  </si>
  <si>
    <t>V10-1B2B-1D-20</t>
  </si>
  <si>
    <t>V20-1B7B-1A-11-R-EN1000</t>
  </si>
  <si>
    <t>V20-1B7B-1A-11-L-EN1000</t>
  </si>
  <si>
    <t>V20-1B7B-1B-11-R-EN1000</t>
  </si>
  <si>
    <t>V20-1B7B-1C-11-R-EN1000</t>
  </si>
  <si>
    <t>V20-1B12B-1A-11-R-EN1000</t>
  </si>
  <si>
    <t>V20-1B12B-1C-11-R-EN1000</t>
  </si>
  <si>
    <t>V10-1B1B-1A-20</t>
  </si>
  <si>
    <t>V10-1B3B-1A-20</t>
  </si>
  <si>
    <t>V10-1B3B-1A-20-L</t>
  </si>
  <si>
    <t>V10-1B3B-1B-20</t>
  </si>
  <si>
    <t>V10-1B3B-1C-20</t>
  </si>
  <si>
    <t>V10-1B4B-1A-20</t>
  </si>
  <si>
    <t>V10-1B4B-1A-20-L</t>
  </si>
  <si>
    <t>V10-1B4B-1B-20</t>
  </si>
  <si>
    <t>V10-1B4B-1C-20</t>
  </si>
  <si>
    <t>V10-1B6B-1A-20</t>
  </si>
  <si>
    <t>V10-1B6B-1B-20</t>
  </si>
  <si>
    <t>V10-1B6B-1C-20</t>
  </si>
  <si>
    <t>V10-1B7B-1A-20</t>
  </si>
  <si>
    <t>V10-1B7B-1A-20-L</t>
  </si>
  <si>
    <t>V10-1B7B-1B-20</t>
  </si>
  <si>
    <t>V10-1B7B-1C-20</t>
  </si>
  <si>
    <t>V201B13B11A11EN1000</t>
  </si>
  <si>
    <t>V2010-1F6B6B-1CC-12-R</t>
  </si>
  <si>
    <t>V2020-P-1F9S7T-11DC4H-30-R</t>
  </si>
  <si>
    <t>V2020-P-1F7S6T-11DC3H-30-R</t>
  </si>
  <si>
    <t>V2020-1F13B9B-11AA-30-R</t>
  </si>
  <si>
    <t>V10-1B6B-11A-20</t>
  </si>
  <si>
    <t>V10-1B6B-11C-20</t>
  </si>
  <si>
    <t>V10-1B6B-11C-20-L</t>
  </si>
  <si>
    <t>V10-1B4B-11A-20</t>
  </si>
  <si>
    <t>V10-1B4B-11C-20</t>
  </si>
  <si>
    <t>V10-1B4B-11C-20-L</t>
  </si>
  <si>
    <t>V10-1B7B-11A-20</t>
  </si>
  <si>
    <t>V10-1B3B-38C-20</t>
  </si>
  <si>
    <t>F3-V2010-1F8S2S-1BB-12-R</t>
  </si>
  <si>
    <t>V2010-1F7B2B-1AA-12-R</t>
  </si>
  <si>
    <t>V2010-1F7B2B-1CC-12-R</t>
  </si>
  <si>
    <t>V2010-1F7B5B-1AA-12-R</t>
  </si>
  <si>
    <t>V2010-1F7B5B-1CC-12-R</t>
  </si>
  <si>
    <t>V2010-1F8B2B-1AA-12-R</t>
  </si>
  <si>
    <t>V2010 1F8B2B 1AA 12L</t>
  </si>
  <si>
    <t>V2010-1F8B3B-1AA-12-R</t>
  </si>
  <si>
    <t>V2010-1F8B3B-1CC-12-R</t>
  </si>
  <si>
    <t>V2010-1F8B4B-1AA-12-R</t>
  </si>
  <si>
    <t>V2010-1F8B4B-1AB-12-R</t>
  </si>
  <si>
    <t>V2010-1F8B5B-1AA-12-R</t>
  </si>
  <si>
    <t>V2010-1F8B5B-1CC-12-R</t>
  </si>
  <si>
    <t>V2010-1F9B2B-1AA-12-R</t>
  </si>
  <si>
    <t>V2010-1F9B2B-1CC-12-R</t>
  </si>
  <si>
    <t>V2010-1F9B3B-1AA-12-R</t>
  </si>
  <si>
    <t>V2010-1F9B3B-1CC-12-R</t>
  </si>
  <si>
    <t>V2010-1F9B4B-1AA-12-R</t>
  </si>
  <si>
    <t>V2010-1F11B2B-1AA-12-R</t>
  </si>
  <si>
    <t>V2010-1F11B2B-1CC-12-R</t>
  </si>
  <si>
    <t>V2010-1F11B3B-1BA-12-R</t>
  </si>
  <si>
    <t>V2010-1F11B3B-1CC-12-R</t>
  </si>
  <si>
    <t>V2010-1F13B2B-1AA-12-R</t>
  </si>
  <si>
    <t>V2010-1F13B2B-1AD-12-R</t>
  </si>
  <si>
    <t>V2010-1F13B2B-1CC-12-R</t>
  </si>
  <si>
    <t>V2010-1F13B3B-1AA-12-R</t>
  </si>
  <si>
    <t>V2010-1F13B3B-1CC-12-R</t>
  </si>
  <si>
    <t>V2010-1F13B5B-1AA-12-R</t>
  </si>
  <si>
    <t>V2010 1F7S3S 1AD12R</t>
  </si>
  <si>
    <t>V2010-1F7S4S-1CC-12</t>
  </si>
  <si>
    <t>V2010-1F8S2S-1BB-12-R</t>
  </si>
  <si>
    <t>V2010-1F8S3S-1AA-12-R</t>
  </si>
  <si>
    <t>V2010-1F9S4S-1CC-12</t>
  </si>
  <si>
    <t>V2010-1F11S3S-11AA-12-R</t>
  </si>
  <si>
    <t>V2010-1F12S2S-1CB-12-L</t>
  </si>
  <si>
    <t>V2020-1F11B11B-1AA-30-R</t>
  </si>
  <si>
    <t>V2020-1F11B11B-1CC-30-R</t>
  </si>
  <si>
    <t>V2020-1F11B6B-1AA-30-R</t>
  </si>
  <si>
    <t>V2020-1F11B8B-1CC-30-R</t>
  </si>
  <si>
    <t>V2020-1F13B11B-1AA-30-R</t>
  </si>
  <si>
    <t>V2020-1F13B11B-1AA-30-L</t>
  </si>
  <si>
    <t>V2020-1F13B11B-1CC-30-R</t>
  </si>
  <si>
    <t>V2020-1F13B6B-1AA-30-R</t>
  </si>
  <si>
    <t>V2020-1F13B9B-1AA-30-R</t>
  </si>
  <si>
    <t>V2020-1F13S11S-1AA-30-L</t>
  </si>
  <si>
    <t>V2020-1F7B7B-1AA-30-R</t>
  </si>
  <si>
    <t>V2020-1F8B7B-11CC-30-R</t>
  </si>
  <si>
    <t>V2020-1F8B8B-1AA-30-R</t>
  </si>
  <si>
    <t>V2020-1F9B9B-1AA-30-R</t>
  </si>
  <si>
    <t>V2020-P-1F11S8T-11DC4H-30-R</t>
  </si>
  <si>
    <t>V20-1P5P-1A-11</t>
  </si>
  <si>
    <t>V20-1P5P-1C-11</t>
  </si>
  <si>
    <t>20VQ14A-1C30</t>
  </si>
  <si>
    <t>V10-1B5B-11C-20</t>
  </si>
  <si>
    <t>V10-1B5B-11C-20-L</t>
  </si>
  <si>
    <t>V10-1B2B-11C-20</t>
  </si>
  <si>
    <t>V10-1B2B-11C-20-L</t>
  </si>
  <si>
    <t>4535VQH50A38-86AC-20</t>
  </si>
  <si>
    <t>25VTAS14A-2202AA22R</t>
  </si>
  <si>
    <t>25VTAS12A-2202AA22R</t>
  </si>
  <si>
    <t>25VTBS21A-2203AA22R</t>
  </si>
  <si>
    <t>25VTBS17A-2203AA22R</t>
  </si>
  <si>
    <t>25VTAS21A-2203AA22R</t>
  </si>
  <si>
    <t>25VTAS21A-2297AA-22R</t>
  </si>
  <si>
    <t>25VTAS14A-2297AA-22R</t>
  </si>
  <si>
    <t>25VTAS21A-2202AA22R</t>
  </si>
  <si>
    <t>25VTAS17A-2202AA22R</t>
  </si>
  <si>
    <t>25VTAS17A-2202BA22R</t>
  </si>
  <si>
    <t>25VTAS17A-2202DB22R</t>
  </si>
  <si>
    <t>25VTBPS21A-2203AA22R</t>
  </si>
  <si>
    <t>25VQTAS17A-2202BA20R</t>
  </si>
  <si>
    <t>25VQTAS17A-2202CC20-R</t>
  </si>
  <si>
    <t>25VQTAS14A-2202AA20R</t>
  </si>
  <si>
    <t>25VQTAS14A-2202DA20R</t>
  </si>
  <si>
    <t>25VQTBS12A-2297CC20R</t>
  </si>
  <si>
    <t>25VQTBS17AS-2297AA21L</t>
  </si>
  <si>
    <t>25VQTBS12A-2203AA20R</t>
  </si>
  <si>
    <t>35VTAS35A-2203AA22R</t>
  </si>
  <si>
    <t>35VTAS30A-2203AA22R</t>
  </si>
  <si>
    <t>35VTAS25A-2203AA22R</t>
  </si>
  <si>
    <t>35VTAS25A 2203CA 22R</t>
  </si>
  <si>
    <t>35VTAS25A-2297AA22L</t>
  </si>
  <si>
    <t>35VTAS25A-2297AA22R</t>
  </si>
  <si>
    <t>35VTBS38A-2203AA22R</t>
  </si>
  <si>
    <t>35VTBS35A-2203AA22R</t>
  </si>
  <si>
    <t>35VTBS35A-2203BA22R</t>
  </si>
  <si>
    <t>35VTBS30A-2203AA22R</t>
  </si>
  <si>
    <t>35VTBS30A 2203BA 22R</t>
  </si>
  <si>
    <t>35VTBS25A-2203AA22R</t>
  </si>
  <si>
    <t>35VTBS38A-2297AA22R</t>
  </si>
  <si>
    <t>35VTBS25A-2297AA22R</t>
  </si>
  <si>
    <t>35VTBPS35A-2203AA22R</t>
  </si>
  <si>
    <t>35VTBPS25A-2203AA22R</t>
  </si>
  <si>
    <t>35VTCS38A-2203AA22R</t>
  </si>
  <si>
    <t>35VTCS35A-2203AA22R</t>
  </si>
  <si>
    <t>35VTCS25A-2203AA22R</t>
  </si>
  <si>
    <t>35VTCS38A-2297AA-22R</t>
  </si>
  <si>
    <t>35VTCS25A-2297BB22R</t>
  </si>
  <si>
    <t>35VQTAS30A-2203AA20R</t>
  </si>
  <si>
    <t>35VQTBS25A-2203AA20R</t>
  </si>
  <si>
    <t>35VQTBS30A-2297AA20R</t>
  </si>
  <si>
    <t>35VQTBS25A-2297CC20R</t>
  </si>
  <si>
    <t>35VQTBPS25A-2203AA20</t>
  </si>
  <si>
    <t>35VQTBPS38AS-2297CA21R</t>
  </si>
  <si>
    <t>35VQTBPS35AS-2297AA21R</t>
  </si>
  <si>
    <t>35VQTBPS35AS-2297CA21R</t>
  </si>
  <si>
    <t>35VQTCS38A-2203AA-20R</t>
  </si>
  <si>
    <t>35VQTCS38A-2203CC20R</t>
  </si>
  <si>
    <t>35VQTCS35A-2203CC20R</t>
  </si>
  <si>
    <t>45VTAS50A-2203AA22R</t>
  </si>
  <si>
    <t>45VTBS60A-2203AA22R</t>
  </si>
  <si>
    <t>45VTBS60A-2203CA22R</t>
  </si>
  <si>
    <t>45VTBS50A-2203AA22R</t>
  </si>
  <si>
    <t>45VTBS50A-2203CA22R</t>
  </si>
  <si>
    <t>45VTBS42A-2203AA22R</t>
  </si>
  <si>
    <t>45VTBS42A-2203CA22R</t>
  </si>
  <si>
    <t>45VTCS60A-2203AA22R</t>
  </si>
  <si>
    <t>45VTCS60A-2203CC22R</t>
  </si>
  <si>
    <t>45VTCS60A-2203DA22R</t>
  </si>
  <si>
    <t>45VTCS50A-2203AA22R</t>
  </si>
  <si>
    <t>45VTCS50A-2203CC22R</t>
  </si>
  <si>
    <t>45VTCS42A-2203AA22R</t>
  </si>
  <si>
    <t>45VTCS60A-2297AA22R</t>
  </si>
  <si>
    <t>45VTCS60A-2297DA22R</t>
  </si>
  <si>
    <t>45VTCS50A-2297AA22R</t>
  </si>
  <si>
    <t>45VQTAS60A-2297BA20L</t>
  </si>
  <si>
    <t>45VQTCS60A-2203CC20R</t>
  </si>
  <si>
    <t>45VQTCS60A-2297AA20R</t>
  </si>
  <si>
    <t>45VQTCS60A-2297CC20R</t>
  </si>
  <si>
    <t>45VQTCS60AS-2297AA21R</t>
  </si>
  <si>
    <t>20V5A-1A22R</t>
  </si>
  <si>
    <t>20V5A-1B22R</t>
  </si>
  <si>
    <t>20V5A-1C22R</t>
  </si>
  <si>
    <t>20V8A-1A22L</t>
  </si>
  <si>
    <t>20V8A-1A22R</t>
  </si>
  <si>
    <t>20V8A-1B22R</t>
  </si>
  <si>
    <t>20V8A-1C22R</t>
  </si>
  <si>
    <t>20V8A-151A22R</t>
  </si>
  <si>
    <t>20V11A-1A22L</t>
  </si>
  <si>
    <t>20V11A-1A22R</t>
  </si>
  <si>
    <t>20V11A-1C22R</t>
  </si>
  <si>
    <t>25V10A-1A22R</t>
  </si>
  <si>
    <t>25V12A-1A22L</t>
  </si>
  <si>
    <t>25V12A-1A22R</t>
  </si>
  <si>
    <t>25V12A-1C22L</t>
  </si>
  <si>
    <t>25V12A-1C22R</t>
  </si>
  <si>
    <t>25V14A-1A22R</t>
  </si>
  <si>
    <t>25V14A-1C22L</t>
  </si>
  <si>
    <t>25V14A-1C22R</t>
  </si>
  <si>
    <t>25V14A-1D22R</t>
  </si>
  <si>
    <t>25V17A-1A22L</t>
  </si>
  <si>
    <t>25V17A-1A22R</t>
  </si>
  <si>
    <t>25V17A-1B22R</t>
  </si>
  <si>
    <t>25V17A-1C22L</t>
  </si>
  <si>
    <t>25V17A-1C22R</t>
  </si>
  <si>
    <t>25V17A-1D22R</t>
  </si>
  <si>
    <t>25V17A-11A22R</t>
  </si>
  <si>
    <t>25V17A-11B22R</t>
  </si>
  <si>
    <t>25V17A-11C22R</t>
  </si>
  <si>
    <t>25V21A-1A22R</t>
  </si>
  <si>
    <t>25V21A-1C22L</t>
  </si>
  <si>
    <t>25V21A-1C22R</t>
  </si>
  <si>
    <t>25V21A-11A22R</t>
  </si>
  <si>
    <t xml:space="preserve">25V21A-11D22L </t>
  </si>
  <si>
    <t>35V25A-1A22R</t>
  </si>
  <si>
    <t>35V25A-1B22R</t>
  </si>
  <si>
    <t>35V25A-1C22R</t>
  </si>
  <si>
    <t>35V25A-1D22R</t>
  </si>
  <si>
    <t>35V25A-11A22R</t>
  </si>
  <si>
    <t>35V30A-1A22L</t>
  </si>
  <si>
    <t>35V30A-1A22R</t>
  </si>
  <si>
    <t>35V30A-1B22R</t>
  </si>
  <si>
    <t>35V30A-1C22R</t>
  </si>
  <si>
    <t>35V30A-1D22R</t>
  </si>
  <si>
    <t>35V30A-11A22R</t>
  </si>
  <si>
    <t>35V30A-86A22R</t>
  </si>
  <si>
    <t>35V30A-86C22R</t>
  </si>
  <si>
    <t>35V35A-1A22L</t>
  </si>
  <si>
    <t>35V35A-1A22R</t>
  </si>
  <si>
    <t>35V35A-1B-22L</t>
  </si>
  <si>
    <t>35V35A-1B22R</t>
  </si>
  <si>
    <t>35V35A-1C22L</t>
  </si>
  <si>
    <t>35V35A-1C22R</t>
  </si>
  <si>
    <t>35V35A-1D22R</t>
  </si>
  <si>
    <t>35V35A-11A22R</t>
  </si>
  <si>
    <t>35V35A-86A22R</t>
  </si>
  <si>
    <t>35V38A-1A22R</t>
  </si>
  <si>
    <t>35V38A-1B22L</t>
  </si>
  <si>
    <t>35V38A-1B22R</t>
  </si>
  <si>
    <t>35V38A-1C22R</t>
  </si>
  <si>
    <t>35V38A-1D22R</t>
  </si>
  <si>
    <t>35V38A-11A22R</t>
  </si>
  <si>
    <t>35V38A-86A22R</t>
  </si>
  <si>
    <t>F3-35V25A-1B22L</t>
  </si>
  <si>
    <t>F3-35V25A-1B22R</t>
  </si>
  <si>
    <t>45V42A-1A22R</t>
  </si>
  <si>
    <t>45V42A-1C22L</t>
  </si>
  <si>
    <t>45V42A-1C22R</t>
  </si>
  <si>
    <t>45V42A-11A22R</t>
  </si>
  <si>
    <t>45V42A 11B 22R</t>
  </si>
  <si>
    <t>45V50A-11A22R</t>
  </si>
  <si>
    <t>45V50A-11D22R</t>
  </si>
  <si>
    <t>45V42A-86A22R</t>
  </si>
  <si>
    <t>45V42A-86C22R</t>
  </si>
  <si>
    <t>45V42A-86D22R</t>
  </si>
  <si>
    <t>45V50A-1A22R</t>
  </si>
  <si>
    <t>45V50A-1B22R</t>
  </si>
  <si>
    <t>45V50A-1C22L</t>
  </si>
  <si>
    <t>45V50A-1C22R</t>
  </si>
  <si>
    <t>45V50A-1D22L</t>
  </si>
  <si>
    <t>45V50A-1D22R</t>
  </si>
  <si>
    <t>45V50A-86A22R</t>
  </si>
  <si>
    <t>45V50A-86C22R</t>
  </si>
  <si>
    <t>45V50A-86D22R</t>
  </si>
  <si>
    <t>45V60A-1A22R</t>
  </si>
  <si>
    <t>45V60A-1C22R</t>
  </si>
  <si>
    <t>45V60A-1D22L</t>
  </si>
  <si>
    <t>45V60A-1D22R</t>
  </si>
  <si>
    <t>45V60A-11A22R</t>
  </si>
  <si>
    <t>45V60A-11B22R</t>
  </si>
  <si>
    <t>45V60A-11C22R</t>
  </si>
  <si>
    <t>45V60A-11D22R</t>
  </si>
  <si>
    <t>45V60A-86A22L</t>
  </si>
  <si>
    <t>45V60A-86A22R</t>
  </si>
  <si>
    <t>45V60A-86B22L</t>
  </si>
  <si>
    <t>45V60A-86B22R</t>
  </si>
  <si>
    <t>45V60A-86C22R</t>
  </si>
  <si>
    <t>F3-45V50A-1A22R</t>
  </si>
  <si>
    <t>2520V12A2-1AA22R</t>
  </si>
  <si>
    <t>2520V12A5-1AA-22-R</t>
  </si>
  <si>
    <t>2520V12A5-1BB-22-R</t>
  </si>
  <si>
    <t>2520V12A5-1CC-22-R</t>
  </si>
  <si>
    <t>2520V12A8-1AA-22-R</t>
  </si>
  <si>
    <t>2520V12A8-1CB-22-R</t>
  </si>
  <si>
    <t>2520V12A11-1AA-22-R</t>
  </si>
  <si>
    <t>2520V12A11-1AD22R</t>
  </si>
  <si>
    <t>2520V12A11-11AD-22-R</t>
  </si>
  <si>
    <t>2520V12A12-1CC-22-R</t>
  </si>
  <si>
    <t>2520V14A2-1DC22R</t>
  </si>
  <si>
    <t>2520V14A5-1AA-22-R</t>
  </si>
  <si>
    <t>2520V14A5-1AB-22-R</t>
  </si>
  <si>
    <t>2520V14A5-1AD-22-R</t>
  </si>
  <si>
    <t>2520V14A5-1CC-22-R</t>
  </si>
  <si>
    <t>2520V14A8-1AA-22-R</t>
  </si>
  <si>
    <t>2520V14A8-1BA-22-R</t>
  </si>
  <si>
    <t>2520V14A8-1CC-22-R</t>
  </si>
  <si>
    <t>2520V14A8-11AA-22-R</t>
  </si>
  <si>
    <t>2520V14A11-1AA-22-R</t>
  </si>
  <si>
    <t>2520V14A12-1AA-22-R</t>
  </si>
  <si>
    <t>2520V14A12-1CC-22-R</t>
  </si>
  <si>
    <t>2520V14A14-1AA-22-R</t>
  </si>
  <si>
    <t>2520V17A2-1AA-22R</t>
  </si>
  <si>
    <t>2520V17A5-1AA-22-R</t>
  </si>
  <si>
    <t>2520V17A5-1AC-22-R</t>
  </si>
  <si>
    <t>2520V17A5-1BA-22-R</t>
  </si>
  <si>
    <t>2520V17A5-1CC-22-R</t>
  </si>
  <si>
    <t>2520V17A8-1AA-22-R</t>
  </si>
  <si>
    <t>2520V17A8-1AC-22-R</t>
  </si>
  <si>
    <t>2520V17A8-1CB-22-R</t>
  </si>
  <si>
    <t>2520V17A8-1CC-22-R</t>
  </si>
  <si>
    <t>2520V17A11-1AA-22-R</t>
  </si>
  <si>
    <t>2520V17A11-1BA-22-R</t>
  </si>
  <si>
    <t>2520V17A11-1CC-22-R</t>
  </si>
  <si>
    <t>2520V17A12-1CC-22-R</t>
  </si>
  <si>
    <t>2520V17A14-1AA-22-R</t>
  </si>
  <si>
    <t>2520V17A14-1CC-22-R</t>
  </si>
  <si>
    <t>2520V21A2-1AA-22R</t>
  </si>
  <si>
    <t>2520V21A5-1AA-22-R</t>
  </si>
  <si>
    <t>2520V21A5-1AD-22-R</t>
  </si>
  <si>
    <t>2520V21A5-1BA-22-R</t>
  </si>
  <si>
    <t>2520V21A5-1CC-22-R</t>
  </si>
  <si>
    <t>2520V21A8-1AA-22-R</t>
  </si>
  <si>
    <t>2520V21A8-1CC-22-R</t>
  </si>
  <si>
    <t>2520V21A11-1AA-22-L</t>
  </si>
  <si>
    <t>2520V21A11-1AA-22-R</t>
  </si>
  <si>
    <t>2520V21A11-1BB-22-R</t>
  </si>
  <si>
    <t>2520V21A11-1CB-22-R</t>
  </si>
  <si>
    <t>2520V21A11-1CC-22-R</t>
  </si>
  <si>
    <t>2520V21A14-1AA-22-R</t>
  </si>
  <si>
    <t>2520V21A14-1CB-22-R</t>
  </si>
  <si>
    <t>2520V21A14-1CC-22-R</t>
  </si>
  <si>
    <t>3520V25A5-1AA-22-R</t>
  </si>
  <si>
    <t>3520V25A5-1BB-22-R</t>
  </si>
  <si>
    <t>3520V25A5-1CC-22-R</t>
  </si>
  <si>
    <t>3520V25A5-86AA-22-R</t>
  </si>
  <si>
    <t>3520V25A8-1CC-22-R</t>
  </si>
  <si>
    <t>3520V25A8-11AA-22-R</t>
  </si>
  <si>
    <t>3520V25A8 11CC 22R</t>
  </si>
  <si>
    <t>3520V25A8-86AA-22-R</t>
  </si>
  <si>
    <t>3520V25A8-86AC-22-R</t>
  </si>
  <si>
    <t>3520V25A8-86CC-22-R</t>
  </si>
  <si>
    <t>3520V25A11-1CC-22-R</t>
  </si>
  <si>
    <t>3520V25A11-86BB-22-R</t>
  </si>
  <si>
    <t>3520V25A12-1BA-22-R</t>
  </si>
  <si>
    <t>3520V25A14-1CC-22-R</t>
  </si>
  <si>
    <t>3520V25A14-11BC22R</t>
  </si>
  <si>
    <t>3520V30A2 1AA22R</t>
  </si>
  <si>
    <t>3520V30A5-1CB22R</t>
  </si>
  <si>
    <t>3520V30A5-1CC-22-R</t>
  </si>
  <si>
    <t>3520V30A5-86AA-22-R</t>
  </si>
  <si>
    <t>3520V30A8-1BB-22-R</t>
  </si>
  <si>
    <t>3520V30A8-86AA-22-R</t>
  </si>
  <si>
    <t>3520V30A8-86AD-22-R</t>
  </si>
  <si>
    <t>3520V30A11-1CC-22-R</t>
  </si>
  <si>
    <t>3520V30A11-86AA-22-R</t>
  </si>
  <si>
    <t>3520V30A12-1CC-22-R</t>
  </si>
  <si>
    <t>3520V30A14-1CC-22-R</t>
  </si>
  <si>
    <t>3520V35A5-1AA-22-R</t>
  </si>
  <si>
    <t>3520V35A5-1CC-22-R</t>
  </si>
  <si>
    <t>3520V35A8-1CC-22-R</t>
  </si>
  <si>
    <t>3520V35A8-11AA-22-R</t>
  </si>
  <si>
    <t>3520V35A8-86AA-22-R</t>
  </si>
  <si>
    <t>3520V35A8-86AD-22-R</t>
  </si>
  <si>
    <t>3520V35A8-86CC-22R</t>
  </si>
  <si>
    <t>3520V35A11-1CC-22-R</t>
  </si>
  <si>
    <t>3520V35A11-86AA-22-R</t>
  </si>
  <si>
    <t>3520V35A14-1CC-22-R</t>
  </si>
  <si>
    <t>3520V38A5-1AA-22-R</t>
  </si>
  <si>
    <t>3520V38A5-86AA-22-R</t>
  </si>
  <si>
    <t>3520V38A8-1CC-22-R</t>
  </si>
  <si>
    <t>3520V38A8-86AA-22-R</t>
  </si>
  <si>
    <t>3520V38A11-1AA-22-R</t>
  </si>
  <si>
    <t>3520V38A11-1CC-22-R</t>
  </si>
  <si>
    <t xml:space="preserve">3520V35A12 1CB 22R </t>
  </si>
  <si>
    <t>3520V38A12-1CC-22-R</t>
  </si>
  <si>
    <t>3520V38A14-1CC-22-R</t>
  </si>
  <si>
    <t>3520V38A14-86AA-22-R</t>
  </si>
  <si>
    <t>3525V25A12-86AA-22-R</t>
  </si>
  <si>
    <t>3525V25A12-86BA-22-R</t>
  </si>
  <si>
    <t>3525V25A14-86AA-22-R</t>
  </si>
  <si>
    <t>3525V25A14-86DA-22-R</t>
  </si>
  <si>
    <t>3525V25A17-1CC-22-R</t>
  </si>
  <si>
    <t>3525V25A17-11CC-22-R</t>
  </si>
  <si>
    <t>3525V25A17-86AA-22-R</t>
  </si>
  <si>
    <t>3525V25A17-86BA-22-R</t>
  </si>
  <si>
    <t>3525V25A17-86CC-22-R</t>
  </si>
  <si>
    <t>3525V25A21-1AA-22-R</t>
  </si>
  <si>
    <t>3525V25A21-86AA-22-R</t>
  </si>
  <si>
    <t>3525V30A12-1AC-22-R</t>
  </si>
  <si>
    <t>3525V30A14-11AA-22-R</t>
  </si>
  <si>
    <t>3525V30A14-86AA-22-R</t>
  </si>
  <si>
    <t>3525V30A17-1AA-22-R</t>
  </si>
  <si>
    <t>3525V30A17-1CC-22-R</t>
  </si>
  <si>
    <t>3525V30A17-86AA-22-R</t>
  </si>
  <si>
    <t>3525V30A17-86BA-22-R</t>
  </si>
  <si>
    <t>3525V30A21-1AA-22-R</t>
  </si>
  <si>
    <t>3525V30A21-11AA-22-R</t>
  </si>
  <si>
    <t>3525V30A21-86AA-22-R</t>
  </si>
  <si>
    <t>3525V35A12-1AA-22-R</t>
  </si>
  <si>
    <t>3525V35A14-1CC-22-R</t>
  </si>
  <si>
    <t>3525V35A17-1AA-22-L</t>
  </si>
  <si>
    <t>3525V35A17-11AA-22-R</t>
  </si>
  <si>
    <t>3525V35A17-86AA-22-R</t>
  </si>
  <si>
    <t>3525V35A17-86CC-22-R</t>
  </si>
  <si>
    <t>3525V35A21-86AA-22-R</t>
  </si>
  <si>
    <t>3525V38A12-1CC-22-R</t>
  </si>
  <si>
    <t>3525V38A14-1AA-22-R</t>
  </si>
  <si>
    <t>3525V38A14-86AA-22-R</t>
  </si>
  <si>
    <t>3525V38A17-86AA-22-R</t>
  </si>
  <si>
    <t>3525V38A17-86CC-22-R</t>
  </si>
  <si>
    <t>3525V38A21-1AD-22-R</t>
  </si>
  <si>
    <t>3525V38A21-1CC-22-R</t>
  </si>
  <si>
    <t>3525V38A21-11AA-22-R</t>
  </si>
  <si>
    <t>3525V38A21-11CC-22-R</t>
  </si>
  <si>
    <t>3525V38A21-86AA-22-R</t>
  </si>
  <si>
    <t>3525V38A21-86BA-22-R</t>
  </si>
  <si>
    <t>3525V38A21-86CC-22-R</t>
  </si>
  <si>
    <t>4520V42A5-1CC-22-R</t>
  </si>
  <si>
    <t>4520V42A5-86AA-22-R</t>
  </si>
  <si>
    <t>4520V42A8-1AD-22-R</t>
  </si>
  <si>
    <t>4520V42A8-1CC-22-R</t>
  </si>
  <si>
    <t>4520V42A8-86CC-22-R</t>
  </si>
  <si>
    <t>4520V42A11-1CC22R</t>
  </si>
  <si>
    <t>4520V50A2-1CC22R</t>
  </si>
  <si>
    <t>4520V50A5-86CC-22-R</t>
  </si>
  <si>
    <t>4520V50A8-1AA-22-R</t>
  </si>
  <si>
    <t>4520V50A8-1CC-22-R</t>
  </si>
  <si>
    <t>4520V50A8-86AA-22-R</t>
  </si>
  <si>
    <t>4520V50A11-86AA-22-R</t>
  </si>
  <si>
    <t>4520V50A12-1BB-22-R</t>
  </si>
  <si>
    <t>4520V50A14-1AA-22-R</t>
  </si>
  <si>
    <t>4520V50A14-86AA-22-R</t>
  </si>
  <si>
    <t>4520V60A5 1AA22R</t>
  </si>
  <si>
    <t>4520V60A5-1CC-22-R</t>
  </si>
  <si>
    <t>4520V60A5-86AA-22-R</t>
  </si>
  <si>
    <t>4520V60A8-1BB-22-R</t>
  </si>
  <si>
    <t>4520V60A8-86CC-22-R</t>
  </si>
  <si>
    <t>4520V60A11-1AC-22-R</t>
  </si>
  <si>
    <t>4520V60A11-1CC-22-R</t>
  </si>
  <si>
    <t>4520V60A11-86AA-22-R</t>
  </si>
  <si>
    <t>4520V60A12-1AA-22-R</t>
  </si>
  <si>
    <t>4520V60A14-1CC-22-R</t>
  </si>
  <si>
    <t>4520V60A14-86AA-22-R</t>
  </si>
  <si>
    <t>4520V60A14-86CC-22-R</t>
  </si>
  <si>
    <t>F3-4520V60A8-1BB-22-R</t>
  </si>
  <si>
    <t>4525V42A14-1AD22R</t>
  </si>
  <si>
    <t>4525V42A17-86AA-22-R</t>
  </si>
  <si>
    <t>4525V42A17 86CC22R</t>
  </si>
  <si>
    <t>4525V42A21-11DD-22-R</t>
  </si>
  <si>
    <t>4525V42A21-86AA-22-R</t>
  </si>
  <si>
    <t>4525V42A21-86AD-22-R</t>
  </si>
  <si>
    <t>4525V42A21-86CC-22-R</t>
  </si>
  <si>
    <t>4525V50A12-1AA-22-R</t>
  </si>
  <si>
    <t>4525V50A12-1CC-22-R</t>
  </si>
  <si>
    <t>4525V50A12-86AA-22-R</t>
  </si>
  <si>
    <t>4525V50A14-1AA22R</t>
  </si>
  <si>
    <t>4525V50A17-1CC-22-R</t>
  </si>
  <si>
    <t>4525V50A17 1DC22R</t>
  </si>
  <si>
    <t>4525V50A17-86AA-22-R</t>
  </si>
  <si>
    <t>4525V50A17-86BB-22-R</t>
  </si>
  <si>
    <t>4525V50A21-1AA-22-R</t>
  </si>
  <si>
    <t>4525V50A21-86AA-22-R</t>
  </si>
  <si>
    <t>4525V50A21-86BA-22-R</t>
  </si>
  <si>
    <t>4525V50A21-86CC-22-R</t>
  </si>
  <si>
    <t>4525V50A21-11AA-22-R</t>
  </si>
  <si>
    <t>4525V60A14-86AA-22-R</t>
  </si>
  <si>
    <t>4525V60A17-1CC-22-R</t>
  </si>
  <si>
    <t>4525V60A17-86AA-22-R</t>
  </si>
  <si>
    <t>4525V60A17-86BB-22-R</t>
  </si>
  <si>
    <t>4525V60A21-1AA-22-R</t>
  </si>
  <si>
    <t>4525V60A21-1CC-22-R</t>
  </si>
  <si>
    <t>4525V60A21-11AA-22-R</t>
  </si>
  <si>
    <t>4525V60A21-86AA-22-R</t>
  </si>
  <si>
    <t>4525V60A21-86CC-22-L</t>
  </si>
  <si>
    <t>4525V60A21-86CC-22-R</t>
  </si>
  <si>
    <t>4525V60A21-86DA-22-R</t>
  </si>
  <si>
    <t>4535V42A25-86DD-22-R</t>
  </si>
  <si>
    <t>4535V42A30-1AA-22-R</t>
  </si>
  <si>
    <t>4535V42A30 1DB22R</t>
  </si>
  <si>
    <t>4535V42A30-86AA-22-R</t>
  </si>
  <si>
    <t>4535V42A30-86AB-22-R</t>
  </si>
  <si>
    <t>4535V42A35-1CC-22-R</t>
  </si>
  <si>
    <t>4535V42A35-86AA-22-R</t>
  </si>
  <si>
    <t>4535V42A38-1AC-22-R</t>
  </si>
  <si>
    <t>4535V42A38-11AA-22-R</t>
  </si>
  <si>
    <t>4535V50A25-86AA-22-R</t>
  </si>
  <si>
    <t>4535V50A25-86BB22R</t>
  </si>
  <si>
    <t>4535V50A25-86BD-22-R</t>
  </si>
  <si>
    <t>4535V50A25-86CC-22-R</t>
  </si>
  <si>
    <t>4535V50A30-11CC-22-R</t>
  </si>
  <si>
    <t>4535V50A30-86AA-22-R</t>
  </si>
  <si>
    <t>4535V50A30-86CC-22-R</t>
  </si>
  <si>
    <t>4535V50A30-86DD-22-R</t>
  </si>
  <si>
    <t>4535V50A35-11AA-22-R</t>
  </si>
  <si>
    <t>4535V50A35-86AA-22-R</t>
  </si>
  <si>
    <t>4535V50A35-86CC-22-R</t>
  </si>
  <si>
    <t>4535V50A38-86AA-22-R</t>
  </si>
  <si>
    <t>4535V50A38-86CC22L</t>
  </si>
  <si>
    <t>4535V60A25-1AA-22-R</t>
  </si>
  <si>
    <t>4535V60A25-1DD-22-R</t>
  </si>
  <si>
    <t>4535V60A25-86AA-22-R</t>
  </si>
  <si>
    <t>4535V60A25-86DD-22-R</t>
  </si>
  <si>
    <t>4535V60A30-1AA-22-R</t>
  </si>
  <si>
    <t>4535V60A30-86AA-22-L</t>
  </si>
  <si>
    <t>4535V60A30-86AA-22-R</t>
  </si>
  <si>
    <t>4535V60A30-86CC-22-R</t>
  </si>
  <si>
    <t>4535V60A30-86DD-22-R</t>
  </si>
  <si>
    <t>4535V60A35-86AA-22-R</t>
  </si>
  <si>
    <t>4535V60A35-86CC-22-L</t>
  </si>
  <si>
    <t>4535V60A35-86CC-22-R</t>
  </si>
  <si>
    <t>4535V60A38-1AA-22-R</t>
  </si>
  <si>
    <t>4535V60A38-1AB-22-L</t>
  </si>
  <si>
    <t>4535V60A38-1CC-22-L</t>
  </si>
  <si>
    <t>4535V60A38-1CC-22-R</t>
  </si>
  <si>
    <t>4535V60A38-11AA-22-R</t>
  </si>
  <si>
    <t>4535V60A38-11CC-22-R</t>
  </si>
  <si>
    <t>4535V60A38-86AA-22-R</t>
  </si>
  <si>
    <t>4535V60A38-86AD-22-R</t>
  </si>
  <si>
    <t>4535V60A38-86CC-22-R</t>
  </si>
  <si>
    <t>4535V60A38-86DD-22-R</t>
  </si>
  <si>
    <t>2520V12A8-86AA-22-R</t>
  </si>
  <si>
    <t>2520V17A14-11DC-22-R</t>
  </si>
  <si>
    <t>2520V21A8-11AA-22-R</t>
  </si>
  <si>
    <t>25V12A-11A22R</t>
  </si>
  <si>
    <t>25V12A-11B22R</t>
  </si>
  <si>
    <t>25V12A 11C22L</t>
  </si>
  <si>
    <t>2520V21A11-86AA-22-R</t>
  </si>
  <si>
    <t>2520V21A11-86DA-22-R</t>
  </si>
  <si>
    <t>3520V30A14-86CC-22-R</t>
  </si>
  <si>
    <t>3525V25A14-1CC-22-R</t>
  </si>
  <si>
    <t>3525V30A12-86DD-22-R</t>
  </si>
  <si>
    <t>3520V35A14-86AA-22-R</t>
  </si>
  <si>
    <t>4535V50A38-11AA-22-R</t>
  </si>
  <si>
    <t>4525V50A14-86AA-22-R</t>
  </si>
  <si>
    <t>4525V50A14-86CC-22-R</t>
  </si>
  <si>
    <t>20V12A-1A22R</t>
  </si>
  <si>
    <t>20V12A-1C22R</t>
  </si>
  <si>
    <t>2520V14A12-11DC-22-R</t>
  </si>
  <si>
    <t>35V25A-86A22R</t>
  </si>
  <si>
    <t>3525V38A17-11AA-22-R</t>
  </si>
  <si>
    <t>2520V17A8-86AA-22-R</t>
  </si>
  <si>
    <t>3520V38A14-11CC22L</t>
  </si>
  <si>
    <t>4520V60A8-11AA-22-R</t>
  </si>
  <si>
    <t>3525VQSV10S30A17S5S-297-BBB-21L</t>
  </si>
  <si>
    <t>4535V60A30 11AA22R</t>
  </si>
  <si>
    <t>3525V35A12-86AA-22-R</t>
  </si>
  <si>
    <t>3525V35A12-86DA-22-R</t>
  </si>
  <si>
    <t>3520V25A14-86AA-22-R</t>
  </si>
  <si>
    <t>3520V25A14-86CC-22-R</t>
  </si>
  <si>
    <t>4535VQH50A30-86CC-20-L</t>
  </si>
  <si>
    <t>25V21A-86A22R</t>
  </si>
  <si>
    <t>25V21A-86C22R</t>
  </si>
  <si>
    <t>35VQTCS35A-2297AA20R</t>
  </si>
  <si>
    <t>2525V17A17-86AA-22-R</t>
  </si>
  <si>
    <t>2520VQ17A11-182BB-20</t>
  </si>
  <si>
    <t>2525V21A21-86AA-22-R</t>
  </si>
  <si>
    <t>2525V14A14-86AA-22-R</t>
  </si>
  <si>
    <t>4525V42A12-86CC-22-R</t>
  </si>
  <si>
    <t>F3-45V42A-86C22L</t>
  </si>
  <si>
    <t>2520V17A5-86AA-22-R</t>
  </si>
  <si>
    <t>25VQTAS21A-2297AA20</t>
  </si>
  <si>
    <t>25VQTAS21A-2297BA20R</t>
  </si>
  <si>
    <t>25VQTAS21A-2297CA20R</t>
  </si>
  <si>
    <t>2520V17A11-86AA-22-R</t>
  </si>
  <si>
    <t>3520V25A11-11CC-22-R</t>
  </si>
  <si>
    <t>2520V17A14-86AA-22-R</t>
  </si>
  <si>
    <t>2520V17A14-86CC-22-R</t>
  </si>
  <si>
    <t>2520V21A14-86AA-22-R</t>
  </si>
  <si>
    <t>2520V21A14-86CC-22-R</t>
  </si>
  <si>
    <t>2520V14A8-86AA-22-R</t>
  </si>
  <si>
    <t>2520VQH21A12-1AA-20</t>
  </si>
  <si>
    <t>20V14A-1A22R</t>
  </si>
  <si>
    <t>20V14A-1C22R</t>
  </si>
  <si>
    <t>20V12A-151A22R</t>
  </si>
  <si>
    <t>2525V21A17-86AA22R</t>
  </si>
  <si>
    <t>2525V21A17-86CC-22-R</t>
  </si>
  <si>
    <t>35VQS35AM-297B20</t>
  </si>
  <si>
    <t>3520V38A11-11AA-22-R</t>
  </si>
  <si>
    <t>20V9A-1A22R</t>
  </si>
  <si>
    <t>20V9A-1C22R</t>
  </si>
  <si>
    <t>25VQS17C-297C20</t>
  </si>
  <si>
    <t>20V14A 151A22R</t>
  </si>
  <si>
    <t>2520V10A5-86CC-22-R</t>
  </si>
  <si>
    <t>2525V21A14-86AA-22-R</t>
  </si>
  <si>
    <t>2525V21A14-86AD-22-R</t>
  </si>
  <si>
    <t>4525V60A14-11AA-22-R</t>
  </si>
  <si>
    <t>45VTCS66A-2297AA20R-186</t>
  </si>
  <si>
    <t>25VTAS10A-2297AA22R</t>
  </si>
  <si>
    <t>25V14A-86A22R</t>
  </si>
  <si>
    <t>2520V10A2-1AA22R</t>
  </si>
  <si>
    <t>35VQ25AS-114D20</t>
  </si>
  <si>
    <t>25V14AM-1A22R</t>
  </si>
  <si>
    <t>2520VQ21A5-86AA-20</t>
  </si>
  <si>
    <t>2520VQ17A14-86AA-20</t>
  </si>
  <si>
    <t>35VTBPS25A 2297AA 22R</t>
  </si>
  <si>
    <t>2520VQ21A11-86AA20</t>
  </si>
  <si>
    <t>35VQ35A-86A20</t>
  </si>
  <si>
    <t>25VQ21A-1A20</t>
  </si>
  <si>
    <t>25VQ21A-1A20L</t>
  </si>
  <si>
    <t>25VQ21A-1C20</t>
  </si>
  <si>
    <t>45VQ60A-86C20</t>
  </si>
  <si>
    <t>35VQ38A-86A20</t>
  </si>
  <si>
    <t>35VQ30A-86A20</t>
  </si>
  <si>
    <t>35VQ25A-86A20</t>
  </si>
  <si>
    <t>25VQ17A-1A20</t>
  </si>
  <si>
    <t>25VQ17A-1A20L</t>
  </si>
  <si>
    <t>25VQ17A-1C20</t>
  </si>
  <si>
    <t>25VQ17A-1C20L</t>
  </si>
  <si>
    <t>25VQ17A-1D20L</t>
  </si>
  <si>
    <t>25VQ14A-1A20</t>
  </si>
  <si>
    <t>25VQ14A-1C20</t>
  </si>
  <si>
    <t>25VQ12A-1A20</t>
  </si>
  <si>
    <t>25VQ12A-1A20L</t>
  </si>
  <si>
    <t>25VQ12A-1C20</t>
  </si>
  <si>
    <t>30VQ24A-1A20</t>
  </si>
  <si>
    <t>35VQ35A-11C20</t>
  </si>
  <si>
    <t>25VQ17A-86C20</t>
  </si>
  <si>
    <t>25VQ21A-86A20</t>
  </si>
  <si>
    <t>45VQ50A-11C20</t>
  </si>
  <si>
    <t>45VQ60A-11C20</t>
  </si>
  <si>
    <t>25VQ14A-11B20</t>
  </si>
  <si>
    <t>25VQ14A-11C20</t>
  </si>
  <si>
    <t>25VQ14A-11C20L</t>
  </si>
  <si>
    <t>25VQ17A-11A20</t>
  </si>
  <si>
    <t>25VQ17A-11C20</t>
  </si>
  <si>
    <t>25VQ17A-11C20L</t>
  </si>
  <si>
    <t>25VQ21A-11A20</t>
  </si>
  <si>
    <t>25VQ21A-11B20</t>
  </si>
  <si>
    <t>25VQ21A 11B 20L</t>
  </si>
  <si>
    <t>25VQ21A-11C20</t>
  </si>
  <si>
    <t>26VQ21A-3C20</t>
  </si>
  <si>
    <t>26VQ21A-3C20L</t>
  </si>
  <si>
    <t>30VQ28A-1A20</t>
  </si>
  <si>
    <t>30VQ28A-1C20</t>
  </si>
  <si>
    <t>35VQ30A-11A20</t>
  </si>
  <si>
    <t>35VQ30A-11C20</t>
  </si>
  <si>
    <t>35VQ25A-1C20</t>
  </si>
  <si>
    <t>35VQ35A-1A20L</t>
  </si>
  <si>
    <t>35VQ35A-1C20</t>
  </si>
  <si>
    <t>35VQ38A-1C20</t>
  </si>
  <si>
    <t>35VQ30A-1A20</t>
  </si>
  <si>
    <t>35VQ30A-1C20</t>
  </si>
  <si>
    <t>2520VQ12A5-1AA-20</t>
  </si>
  <si>
    <t>2520VQ12A5-1CC-20</t>
  </si>
  <si>
    <t>2520VQ14A14-11BC20L</t>
  </si>
  <si>
    <t>2520VQ17A8-1CC-20</t>
  </si>
  <si>
    <t>2520VQ17A8-11BB-20</t>
  </si>
  <si>
    <t>2520VQ17A14-1AA-20</t>
  </si>
  <si>
    <t>2520VQ21A5-1CC-20</t>
  </si>
  <si>
    <t>2520VQ21A8-1CC-20</t>
  </si>
  <si>
    <t>2520VQ21A8-1DC-20-L</t>
  </si>
  <si>
    <t>2520VQ21A11-1AA-20</t>
  </si>
  <si>
    <t>2520VQ21A11-1CC-20</t>
  </si>
  <si>
    <t>2520VQ21A14-1CC-20</t>
  </si>
  <si>
    <t xml:space="preserve">3525VQ25A21-1AA-20 </t>
  </si>
  <si>
    <t>3525VQ30A21-11CC-20</t>
  </si>
  <si>
    <t>3525VQ38A21-1CC-20</t>
  </si>
  <si>
    <t>2520VQ14A8-1AA-20</t>
  </si>
  <si>
    <t>45VQ42A-86A20</t>
  </si>
  <si>
    <t>45VQ42A-86B20</t>
  </si>
  <si>
    <t>45VQ42A-86C20</t>
  </si>
  <si>
    <t>45VQ50A-1A20</t>
  </si>
  <si>
    <t>45VQ50A-1C20</t>
  </si>
  <si>
    <t>45VQ50A-1C20L</t>
  </si>
  <si>
    <t>45VQ60A-1C20</t>
  </si>
  <si>
    <t>45VQ60A-1D20</t>
  </si>
  <si>
    <t>4535VQ60A38-219CC-20</t>
  </si>
  <si>
    <t>3525VQ38A17-11AA-20</t>
  </si>
  <si>
    <t>3525VQ38A17-11CC20L</t>
  </si>
  <si>
    <t>3520VQ30A11-11CC-20</t>
  </si>
  <si>
    <t>4535VQ60A25-11CC-20</t>
  </si>
  <si>
    <t>35VQ38A-11C20</t>
  </si>
  <si>
    <t>35VQ25A-11C20</t>
  </si>
  <si>
    <t>3525VQ25A21-11BA-20</t>
  </si>
  <si>
    <t>2520VQ21A14-11AA-20-L</t>
  </si>
  <si>
    <t>2520VQ21A14-11CC-20</t>
  </si>
  <si>
    <t>4535VQ42A30-11CC20</t>
  </si>
  <si>
    <t>3525VQ30A12-11AA-20</t>
  </si>
  <si>
    <t>3525VQ30A12-11AC-20</t>
  </si>
  <si>
    <t xml:space="preserve">2520VQ14A11 11AA20 </t>
  </si>
  <si>
    <t>2520VQ14A11-11AA-20-L</t>
  </si>
  <si>
    <t>2520VQ14A11-11CC-20</t>
  </si>
  <si>
    <t>2520VQ21A8-11BB-20</t>
  </si>
  <si>
    <t>2520VQ17A11-11CC-20</t>
  </si>
  <si>
    <t>2520VQ21A5-11CC-20</t>
  </si>
  <si>
    <t>3520VQ30A5-1CC-20</t>
  </si>
  <si>
    <t>25VQ12A-11C20</t>
  </si>
  <si>
    <t>25VQ12A-11C20L</t>
  </si>
  <si>
    <t>4525VQ60A21-11CC-20</t>
  </si>
  <si>
    <t>4525VQ60A21-11CC20-L</t>
  </si>
  <si>
    <t>4520VQ42A8-11AA-20</t>
  </si>
  <si>
    <t>2520VQ21A12-1CC-20</t>
  </si>
  <si>
    <t>2520VQ12A11-11CC-20</t>
  </si>
  <si>
    <t>2520VQ12A11-1CC-20</t>
  </si>
  <si>
    <t>2520VQ12A11 1CC20 L</t>
  </si>
  <si>
    <t>2520VQ17A5-11BB-20</t>
  </si>
  <si>
    <t>4525VQ42A17-11CC-20</t>
  </si>
  <si>
    <t>3525VQ38A21-11CC-20</t>
  </si>
  <si>
    <t>3525VQ38A21-11CC-20-L</t>
  </si>
  <si>
    <t>3525VQ30A21-1AA20</t>
  </si>
  <si>
    <t>26VQ12A-3C20L</t>
  </si>
  <si>
    <t>3525VQ25A14-1AA-20</t>
  </si>
  <si>
    <t>3525VQ25A14-1CC-20</t>
  </si>
  <si>
    <t>3525VQ30A17-1AA-20-L</t>
  </si>
  <si>
    <t>3525VQ30A17-1CC-20</t>
  </si>
  <si>
    <t>3525VQ38A12 1CC20</t>
  </si>
  <si>
    <t>3520VQ35A12-11CC-20</t>
  </si>
  <si>
    <t>45VQ42A-1C20</t>
  </si>
  <si>
    <t>4525VQ60A14-11CC-20</t>
  </si>
  <si>
    <t>4535VQ60A38-11AA-20</t>
  </si>
  <si>
    <t>4535VQ60A38-11CC-20</t>
  </si>
  <si>
    <t xml:space="preserve">4535VQ50A25-1CC-20 </t>
  </si>
  <si>
    <t>3520VQ25A12-1CC-20</t>
  </si>
  <si>
    <t>45VQ50A-86B20L</t>
  </si>
  <si>
    <t>45VQ50A-86C20</t>
  </si>
  <si>
    <t>2520VQ12A5-11CC-20-L</t>
  </si>
  <si>
    <t>4525VQ50A21-11AA-20</t>
  </si>
  <si>
    <t>4525VQ50A21-11CC-20</t>
  </si>
  <si>
    <t>3525VQ38A17-1CC-20</t>
  </si>
  <si>
    <t>3520VQ30A12-11CC-20</t>
  </si>
  <si>
    <t>3525VQ25A14-11AA-20-L</t>
  </si>
  <si>
    <t>26VQ14A-1C20</t>
  </si>
  <si>
    <t>4525VQ42A21-1CC-20</t>
  </si>
  <si>
    <t>4520VQ50A14-11CC20</t>
  </si>
  <si>
    <t>3520VQ25A14-1AA20</t>
  </si>
  <si>
    <t>20VQ11A-151A30</t>
  </si>
  <si>
    <t>2520VQ21A11-182BB-20</t>
  </si>
  <si>
    <t>4535VQ50A30-86CC-20</t>
  </si>
  <si>
    <t>4525VQ60A21S-114CC-21</t>
  </si>
  <si>
    <t>4525VQ60A14-86AA20</t>
  </si>
  <si>
    <t>4525VQ60A14-86CC-20</t>
  </si>
  <si>
    <t>4535VQ42A25 86AA20</t>
  </si>
  <si>
    <t>3520VQ25A14-86AA-20</t>
  </si>
  <si>
    <t>3520VQ30A12-86AD-20</t>
  </si>
  <si>
    <t>3520VQ25A11S-114BB-21-L</t>
  </si>
  <si>
    <t>2520VQ17A14S-123AA-21-L</t>
  </si>
  <si>
    <t>25VQH21A-11C30L</t>
  </si>
  <si>
    <t>20VQ8A-1A30</t>
  </si>
  <si>
    <t>20VQ8A-1C30</t>
  </si>
  <si>
    <t>3525VQ30A17-11BB-30-L</t>
  </si>
  <si>
    <t xml:space="preserve">SHAFT-45VTBS-SAE C SPLIN </t>
  </si>
  <si>
    <t>3520VQF25E11-11CB-10J-20</t>
  </si>
  <si>
    <t>3520VQF30E11-11AC-10J-20</t>
  </si>
  <si>
    <t>4535VQ60A30-11CC-20</t>
  </si>
  <si>
    <t>4525VQ50A17-11CC-20</t>
  </si>
  <si>
    <t>3520VQ38A5-1CC 20</t>
  </si>
  <si>
    <t>3520VQ38A11-1CC-20</t>
  </si>
  <si>
    <t>4535VQ50A30-11CC20</t>
  </si>
  <si>
    <t>4535VQ60A38-86AA-20</t>
  </si>
  <si>
    <t>4535VQ60A38-86CC-20</t>
  </si>
  <si>
    <t>3525VQ30A14-11CC-20</t>
  </si>
  <si>
    <t>4535VQ60A35-11CC-20</t>
  </si>
  <si>
    <t>3525VQ30A14-86CC20</t>
  </si>
  <si>
    <t>4525VQ60A14-1CC-20</t>
  </si>
  <si>
    <t>3525VQ30A17-86AA-20</t>
  </si>
  <si>
    <t>4520VQ60A11-86CC-20</t>
  </si>
  <si>
    <t xml:space="preserve">3525VQ35A12-11CC-20 </t>
  </si>
  <si>
    <t xml:space="preserve">WASHER  </t>
  </si>
  <si>
    <t>4525VQ60A12-11AA20</t>
  </si>
  <si>
    <t>4525VQ60A12-11CC-20</t>
  </si>
  <si>
    <t>4520VQ60A14-1CC-20</t>
  </si>
  <si>
    <t xml:space="preserve">4520VQ50A12-86CC-20 </t>
  </si>
  <si>
    <t>4535VQ60A25 86AA20</t>
  </si>
  <si>
    <t>3520VQ35A8S-123BD-21-L</t>
  </si>
  <si>
    <t>25VQ12A-3C20L</t>
  </si>
  <si>
    <t>4525VQ42A14-11BC22</t>
  </si>
  <si>
    <t>3525VQ38A21S-111DB-21-L</t>
  </si>
  <si>
    <t>4525VQ42A21-86CC-20</t>
  </si>
  <si>
    <t>45VQH42A-86C20</t>
  </si>
  <si>
    <t xml:space="preserve">3525VQ25A17-86AA20 </t>
  </si>
  <si>
    <t>4535VQ42A30-86CC-20</t>
  </si>
  <si>
    <t>3520VQ21A5-11BC-30-L</t>
  </si>
  <si>
    <t>4535VQH42A25-401AA-32-R-348</t>
  </si>
  <si>
    <t>3520VQ21A11-1BA-20-R</t>
  </si>
  <si>
    <t>45V45A-1C22R</t>
  </si>
  <si>
    <t>45V45A-11A22R</t>
  </si>
  <si>
    <t>20VQ8A-151A30</t>
  </si>
  <si>
    <t xml:space="preserve">45VQH60A-86C20 </t>
  </si>
  <si>
    <t>20VQ5A 151A30</t>
  </si>
  <si>
    <t>20VQ5A-151A30L</t>
  </si>
  <si>
    <t>3620VQH30A11-86CC20</t>
  </si>
  <si>
    <t>45VQH50AS-401B32L</t>
  </si>
  <si>
    <t>20VQ5A-1A30</t>
  </si>
  <si>
    <t>20VQ5A-1A30L</t>
  </si>
  <si>
    <t>20VQ5A-1C30</t>
  </si>
  <si>
    <t>20VQ9A-1C30</t>
  </si>
  <si>
    <t>20VQ11A-1A30</t>
  </si>
  <si>
    <t>20VQ11A-1C30</t>
  </si>
  <si>
    <t>51M220A-11C20-114</t>
  </si>
  <si>
    <t>25M30A-1C20</t>
  </si>
  <si>
    <t>50M300A-11C20-114</t>
  </si>
  <si>
    <t>50M220A-11C20-114</t>
  </si>
  <si>
    <t xml:space="preserve">50M255A-11C20-114 </t>
  </si>
  <si>
    <t>51M300A-1C-20-114</t>
  </si>
  <si>
    <t>45M155A-11A20</t>
  </si>
  <si>
    <t>45M185A 11A20</t>
  </si>
  <si>
    <t>45M155A-1C-20</t>
  </si>
  <si>
    <t>45M185A-1A-20</t>
  </si>
  <si>
    <t>45M185A-1C-20</t>
  </si>
  <si>
    <t>35M95A-11C-20</t>
  </si>
  <si>
    <t>35M115A-11C-20</t>
  </si>
  <si>
    <t>35M80A-1C-20</t>
  </si>
  <si>
    <t>35M115A-1C-20</t>
  </si>
  <si>
    <t>36M115A-11C-20</t>
  </si>
  <si>
    <t>25M42A-11C-20</t>
  </si>
  <si>
    <t>25M55A-11C-20</t>
  </si>
  <si>
    <t>26M65A-11C20</t>
  </si>
  <si>
    <t>50M300A-1C-20-114</t>
  </si>
  <si>
    <t>50M255A-1C-20-114</t>
  </si>
  <si>
    <t>46M155A-1C-20</t>
  </si>
  <si>
    <t>46M185A-1C-20</t>
  </si>
  <si>
    <t>50M220A-1C20-114</t>
  </si>
  <si>
    <t>46M155A-11C20</t>
  </si>
  <si>
    <t>36M80A-1C-20</t>
  </si>
  <si>
    <t>36M95A-1C-20</t>
  </si>
  <si>
    <t>25M65A-1A-20</t>
  </si>
  <si>
    <t>25M65A-1C-20</t>
  </si>
  <si>
    <t>26M42A-11C20</t>
  </si>
  <si>
    <t>51M255A-11C-20-114</t>
  </si>
  <si>
    <t>36M95A-11C20</t>
  </si>
  <si>
    <t>25M65A-11C-20</t>
  </si>
  <si>
    <t>25M55A-1A-20</t>
  </si>
  <si>
    <t>25M55A-1C-20</t>
  </si>
  <si>
    <t>25M42A-1A-20</t>
  </si>
  <si>
    <t>25M42A-1C-20</t>
  </si>
  <si>
    <t>26M30A-1C-20</t>
  </si>
  <si>
    <t>26M65A-1C-20</t>
  </si>
  <si>
    <t>26M42A-1C-20</t>
  </si>
  <si>
    <t>36M80A-11C-20</t>
  </si>
  <si>
    <t>25M35A-1C-20</t>
  </si>
  <si>
    <t>26M55A-11C-20</t>
  </si>
  <si>
    <t>46M185A-11C-20</t>
  </si>
  <si>
    <t>46M130A-11C20</t>
  </si>
  <si>
    <t>F8-25M55A1C20</t>
  </si>
  <si>
    <t>F8-25M55A11C20</t>
  </si>
  <si>
    <t>25M55A-1C20-136</t>
  </si>
  <si>
    <t>25M30A-11C20</t>
  </si>
  <si>
    <t>F8-25M30A-1C20</t>
  </si>
  <si>
    <t>C KIT **20V2*-**22(BLD LT)</t>
  </si>
  <si>
    <t>C KIT **20V5*-**22(BLD LT)</t>
  </si>
  <si>
    <t>C KIT **20V8*-**22(BLD LT)</t>
  </si>
  <si>
    <t>C KIT **20V11*-**22(BLD LT)</t>
  </si>
  <si>
    <t>C KIT **20V12*-**22(BLD LT)</t>
  </si>
  <si>
    <t>C KIT **20V14*-**22(BLD LT)</t>
  </si>
  <si>
    <t>C KIT F3-**20V5*-**22(BLD LT)</t>
  </si>
  <si>
    <t>C KIT F3-**20V8*-**22(BLD LT)</t>
  </si>
  <si>
    <t>C KIT 20V5***22(BLD LT)</t>
  </si>
  <si>
    <t>C KIT 20V8***22(BLD LT)</t>
  </si>
  <si>
    <t>C KIT 20V11***22(BLD LT)</t>
  </si>
  <si>
    <t>C KIT 20V12**22(BLD LT)</t>
  </si>
  <si>
    <t>C KIT 20V14***22(BLD LT)</t>
  </si>
  <si>
    <t>C KIT F3-20V11***22(BLD LT)</t>
  </si>
  <si>
    <t>C KIT 25V10***22(BLD RT)</t>
  </si>
  <si>
    <t>C KIT 25V12***22(BLD RT)</t>
  </si>
  <si>
    <t>C KIT 25V14***22(BLD RT)</t>
  </si>
  <si>
    <t>C KIT 25V17***22(BLD RT)</t>
  </si>
  <si>
    <t>C KIT 25V21***22(BLD RT)</t>
  </si>
  <si>
    <t>C KIT **25V12***22(BLD LT)</t>
  </si>
  <si>
    <t>C KIT **25V14***22(BLD LT)</t>
  </si>
  <si>
    <t>C KIT **25V17***22(BLD LT)</t>
  </si>
  <si>
    <t>C KIT **25V21***22(BLD LT)</t>
  </si>
  <si>
    <t>C KIT F3-25V21***22(BLD RT)</t>
  </si>
  <si>
    <t>C KIT 35V25***22(BLD RT)</t>
  </si>
  <si>
    <t>C KIT 35V30***22(BLD RT)</t>
  </si>
  <si>
    <t>C KIT 35V35***22(BLD RT)</t>
  </si>
  <si>
    <t>C KIT 35V38***22(BLD RT)</t>
  </si>
  <si>
    <t>C KIT **35V25***22(BLD LT)</t>
  </si>
  <si>
    <t>C KIT **35V30***22(BLD LT)</t>
  </si>
  <si>
    <t>C KIT **35V35***22(BLD LT)</t>
  </si>
  <si>
    <t>C KIT **35V38***22(BLD LT)</t>
  </si>
  <si>
    <t>C KIT **35V38***22 L(BLD RT)</t>
  </si>
  <si>
    <t>C KIT F3-**35V35***22(BLD LT)</t>
  </si>
  <si>
    <t>C KIT 45V42***22(BLD RT)</t>
  </si>
  <si>
    <t>C KIT 45V45***22(BLD RT)</t>
  </si>
  <si>
    <t>C KIT 45V50***22(BLD RT)</t>
  </si>
  <si>
    <t>C KIT 45V60***22(BLD RT)</t>
  </si>
  <si>
    <t>C KIT 45V60***22 L(BLD LT)</t>
  </si>
  <si>
    <t>C KIT F3-45V42***22(BLD RT)</t>
  </si>
  <si>
    <t>C KIT F3-45V50***22(BLD RT)</t>
  </si>
  <si>
    <t>C KIT 45V**66**-****12-18* (BLD RT)</t>
  </si>
  <si>
    <t>C KIT 2525V17***-***22*SHAFT END (BLD RT)</t>
  </si>
  <si>
    <t>C KIT V20*-5-22</t>
  </si>
  <si>
    <t>C KIT V20*-6-22</t>
  </si>
  <si>
    <t>C KIT V20*-7-22</t>
  </si>
  <si>
    <t>C KIT V20*-8-22</t>
  </si>
  <si>
    <t>C KIT V20*-9-22</t>
  </si>
  <si>
    <t>C KIT V20*-11-22</t>
  </si>
  <si>
    <t>C KIT V20*-12-22</t>
  </si>
  <si>
    <t>C KIT V20*-13-22</t>
  </si>
  <si>
    <t>C KIT 12GPM F3 V20F 22</t>
  </si>
  <si>
    <t>C KIT V20*0-6</t>
  </si>
  <si>
    <t>C KIT 2525V21***-***22*( BLD RT )</t>
  </si>
  <si>
    <t>C KIT **25V***17-***22*(BLD LT)</t>
  </si>
  <si>
    <t>C KIT V20**-7-30</t>
  </si>
  <si>
    <t>C KIT V20**-8-30</t>
  </si>
  <si>
    <t>C KIT V20**-9-30</t>
  </si>
  <si>
    <t>C KIT V20**-11-30</t>
  </si>
  <si>
    <t>C KIT 13 GPM V20-30 SHAFT END</t>
  </si>
  <si>
    <t>C KIT 45VPF-160, BUNA (BLD RT)</t>
  </si>
  <si>
    <t xml:space="preserve">CARTRIDGE 7 GPM V10NF  </t>
  </si>
  <si>
    <t xml:space="preserve">BUSHING-(HEAVY WALL)  </t>
  </si>
  <si>
    <t xml:space="preserve">35 GPM ROT GROUP  </t>
  </si>
  <si>
    <t xml:space="preserve">CART KIT 35VQ-35GPM  </t>
  </si>
  <si>
    <t xml:space="preserve">CART KIT 35VQ-38GPM  </t>
  </si>
  <si>
    <t xml:space="preserve">CART KIT 35VQ-21GPM  </t>
  </si>
  <si>
    <t xml:space="preserve">CART KIT 35VQ-25GPM  </t>
  </si>
  <si>
    <t xml:space="preserve">CART KIT 35VQ-30GPM  </t>
  </si>
  <si>
    <t xml:space="preserve">CART KIT **20VQ-11GPM  </t>
  </si>
  <si>
    <t xml:space="preserve">CART KIT **20VQ-12GPM  </t>
  </si>
  <si>
    <t xml:space="preserve">CART KIT **20VQ-14GPM  </t>
  </si>
  <si>
    <t xml:space="preserve">CART KIT 45VQ-42GPM  </t>
  </si>
  <si>
    <t xml:space="preserve">CART KIT 45VQ-50GPM  </t>
  </si>
  <si>
    <t xml:space="preserve">CART KIT 45VQ-60GPM  </t>
  </si>
  <si>
    <t xml:space="preserve">12 GPM ROT GROUP  </t>
  </si>
  <si>
    <t xml:space="preserve">CART KIT 25VQ-12GPM  </t>
  </si>
  <si>
    <t xml:space="preserve">14 GPM ROTATING GROUP  </t>
  </si>
  <si>
    <t xml:space="preserve">17 GPM ROTATING GROUP  </t>
  </si>
  <si>
    <t xml:space="preserve">CART KIT 25VQ-17GPM  </t>
  </si>
  <si>
    <t xml:space="preserve">21 GPM ROTATING GROUP  </t>
  </si>
  <si>
    <t xml:space="preserve">CART KIT 25VQ-21GPM  </t>
  </si>
  <si>
    <t xml:space="preserve">CART KIT 30VQ-28GPM  </t>
  </si>
  <si>
    <t xml:space="preserve">CART KIT 30VQ-24GPM  </t>
  </si>
  <si>
    <t xml:space="preserve">CART KIT **20VQ-5GPM  </t>
  </si>
  <si>
    <t xml:space="preserve">CART KIT **20VQ-8GPM  </t>
  </si>
  <si>
    <t>CART KIT F3 45VQ42 (BLD RT)</t>
  </si>
  <si>
    <t xml:space="preserve">19 GPM ROTATING GROUP  </t>
  </si>
  <si>
    <t xml:space="preserve">CARTRIDGE KIT 45VQ 57  </t>
  </si>
  <si>
    <t xml:space="preserve">CART KIT 45VQ-47GPM  </t>
  </si>
  <si>
    <t xml:space="preserve">14 GPM ROT GROUP  </t>
  </si>
  <si>
    <t xml:space="preserve">CART KIT **25VQ-17GPM  </t>
  </si>
  <si>
    <t xml:space="preserve">19 GPM ROT GROUP  </t>
  </si>
  <si>
    <t xml:space="preserve">CART KIT **25VQ-21GPM  </t>
  </si>
  <si>
    <t xml:space="preserve">CART KIT **35VQ-21GPM  </t>
  </si>
  <si>
    <t xml:space="preserve">CART KIT **35VQ-25GPM  </t>
  </si>
  <si>
    <t xml:space="preserve">CART KIT **35VQ-30GPM  </t>
  </si>
  <si>
    <t xml:space="preserve">CART KIT **35VQ-35GPM  </t>
  </si>
  <si>
    <t xml:space="preserve">CART KIT **35VQ-38GPM  </t>
  </si>
  <si>
    <t xml:space="preserve">C KIT F3 25VQ21  </t>
  </si>
  <si>
    <t xml:space="preserve">C KIT F3 ++25VQ 21  </t>
  </si>
  <si>
    <t xml:space="preserve">C KIT F3 35VQ30  </t>
  </si>
  <si>
    <t xml:space="preserve">CART KIT (F3)35VQ-35GPM  </t>
  </si>
  <si>
    <t>CART KIT F3**20VQ**8 (BLD LT)</t>
  </si>
  <si>
    <t>CART KIT F3**20VQ**11 (BLD LT)</t>
  </si>
  <si>
    <t xml:space="preserve">CART KIT **20VQ-9GPM  </t>
  </si>
  <si>
    <t xml:space="preserve">CART KIT 45VQH-50GPM  </t>
  </si>
  <si>
    <t>CART KIT 45VQH-50GPM LH (BLD LT)</t>
  </si>
  <si>
    <t>CARTRIDGE KIT 45VQ 42 20221</t>
  </si>
  <si>
    <t xml:space="preserve">CARTRIDGE KIT VQ 5 GPM  </t>
  </si>
  <si>
    <t xml:space="preserve">CART KIT 20VQ-8 30DES  </t>
  </si>
  <si>
    <t xml:space="preserve">CART KIT 20VQ-9 30DES  </t>
  </si>
  <si>
    <t xml:space="preserve">CART KIT 20VQ-11 30DES  </t>
  </si>
  <si>
    <t xml:space="preserve">CART KIT 20VQ-12 30DES  </t>
  </si>
  <si>
    <t xml:space="preserve">CART KIT 20VQ-14 30DES  </t>
  </si>
  <si>
    <t xml:space="preserve">CART KIT 25VQH-17GPM  </t>
  </si>
  <si>
    <t>CARTRIDGE KIT 45VQ60 20 222</t>
  </si>
  <si>
    <t>C KIT 45VQ60 251 L (BLD LT)</t>
  </si>
  <si>
    <t xml:space="preserve">CARTRIDGE 38 GPM  </t>
  </si>
  <si>
    <t xml:space="preserve">C KIT **35VQH***30---30  </t>
  </si>
  <si>
    <t xml:space="preserve">C-KIT 2 GPM VTM  </t>
  </si>
  <si>
    <t>C KIT 45VQH42* ** 32 (BLD RT)</t>
  </si>
  <si>
    <t xml:space="preserve">C KIT 45VQH50*-**-32  </t>
  </si>
  <si>
    <t>C KIT F3-45VQH50*-**32 (BLD RT)</t>
  </si>
  <si>
    <t>C KIT F3-45VQH60*-**32 (BLD RT)</t>
  </si>
  <si>
    <t xml:space="preserve">CARTRIDGE KIT 50V 72  </t>
  </si>
  <si>
    <t xml:space="preserve">CARTRIDGE KIT 50V 85  </t>
  </si>
  <si>
    <t xml:space="preserve">CARTRIDGE KIT 50V 100  </t>
  </si>
  <si>
    <t xml:space="preserve">CARTRIDGE KIT 50V 109  </t>
  </si>
  <si>
    <t>CARTRIDGE KIT 50M2 20++20</t>
  </si>
  <si>
    <t>CARTRIDGE KIT 50M2 55++20</t>
  </si>
  <si>
    <t>CARTRIDGE KIT 50M3 00++20</t>
  </si>
  <si>
    <t xml:space="preserve">C KIT 45M 185 LT30  </t>
  </si>
  <si>
    <t xml:space="preserve">C KIT 45M 155 LT30  </t>
  </si>
  <si>
    <t xml:space="preserve">C KIT 45M 130 LT45  </t>
  </si>
  <si>
    <t xml:space="preserve">C KIT 25M 30 LT45  </t>
  </si>
  <si>
    <t xml:space="preserve">MOTOR KIT 42 LT30  </t>
  </si>
  <si>
    <t xml:space="preserve">C KIT 25M 55 LT45  </t>
  </si>
  <si>
    <t xml:space="preserve">C KIT 25M 65 LT45  </t>
  </si>
  <si>
    <t xml:space="preserve">C KIT 35M 80 LT45  </t>
  </si>
  <si>
    <t xml:space="preserve">C KIT 35M 95 LT30  </t>
  </si>
  <si>
    <t xml:space="preserve">C KIT 35M 115 LT45  </t>
  </si>
  <si>
    <t xml:space="preserve">C KIT 25M 35 IN-LB  </t>
  </si>
  <si>
    <t>CARTRIDGE KIT V20++ 9 (02-152008 US item)</t>
  </si>
  <si>
    <t xml:space="preserve">CARTRIDGE KIT V10 5  </t>
  </si>
  <si>
    <t xml:space="preserve">CARTRIDGE KIT V10 4  </t>
  </si>
  <si>
    <t xml:space="preserve">CARTRIDGE KIT V10 2  </t>
  </si>
  <si>
    <t xml:space="preserve">C KIT V10 1  </t>
  </si>
  <si>
    <t xml:space="preserve">CARTRIDGE KIT V10 3  </t>
  </si>
  <si>
    <t xml:space="preserve">CARTRIDGE KIT V10 6  </t>
  </si>
  <si>
    <t xml:space="preserve">CARTRIDGE KIT V10 7  </t>
  </si>
  <si>
    <t>CG5-060A-C-M-FW-B5-100</t>
  </si>
  <si>
    <t>CG5-060A-F-M-U-H5-100</t>
  </si>
  <si>
    <t>CT5-060A-F-M-U-B5-100</t>
  </si>
  <si>
    <t>CPF1S-12-FW-20</t>
  </si>
  <si>
    <t>CPF1V-12-FW-20</t>
  </si>
  <si>
    <t>CPF1S-06-FW-20</t>
  </si>
  <si>
    <t>CPF1S-08-FW-20</t>
  </si>
  <si>
    <t>F3-CG5-060A-F-M-FPA3WL-B6-110</t>
  </si>
  <si>
    <t>CPF1S-06-BW-20</t>
  </si>
  <si>
    <t>CPF2S-10-FW-3S-M-U-B5-20</t>
  </si>
  <si>
    <t>CPF1S-10-GW-20</t>
  </si>
  <si>
    <t>CPF2S-08-FW-3S-M-FTWL-B5-20</t>
  </si>
  <si>
    <t>CPF2S-12-FW-3S-M-FTWL-B5-20</t>
  </si>
  <si>
    <t>CPF1S-08-GW-B-20</t>
  </si>
  <si>
    <t>CPF1S-10-GW-B-20</t>
  </si>
  <si>
    <t>CPF1S-12-GW-B-20</t>
  </si>
  <si>
    <t>CPF1V-12-GW-B-20</t>
  </si>
  <si>
    <t>CPF2S-06-GW-B-3S-M-U-H5-20</t>
  </si>
  <si>
    <t>CPF2S-08-GW-B-3S-M-U-H5-20</t>
  </si>
  <si>
    <t>CPF2S-12-GW-B-3S-M-U-H5-20</t>
  </si>
  <si>
    <t>CPF1S-12-GW-RC-20</t>
  </si>
  <si>
    <t>CPF1V-12-GW-20</t>
  </si>
  <si>
    <t>CPF2S-10-BW-3S-M-U-B5-20</t>
  </si>
  <si>
    <t>CPF2S-08-FW-B-20-EN55</t>
  </si>
  <si>
    <t>CPF2S-10-BW-3S-M-U-H5-20</t>
  </si>
  <si>
    <t>CPF2S-06-FW-3S-M-FPA5WL-B5-20</t>
  </si>
  <si>
    <t>CPF2S-08-FW-3-M-U-H7-20</t>
  </si>
  <si>
    <t>CPF2S-12-BW-3S-M-U-D5-20</t>
  </si>
  <si>
    <t>CG-03-B-10</t>
  </si>
  <si>
    <t>CG-03-C-10</t>
  </si>
  <si>
    <t>CG-03-F-10</t>
  </si>
  <si>
    <t>CG 03 CV 10</t>
  </si>
  <si>
    <t xml:space="preserve">CG 06 B 50  </t>
  </si>
  <si>
    <t xml:space="preserve">CG-06-BV-50  </t>
  </si>
  <si>
    <t xml:space="preserve">CG 06 C 50  </t>
  </si>
  <si>
    <t xml:space="preserve">CG 06 CV 50  </t>
  </si>
  <si>
    <t xml:space="preserve">CG 06 F 50  </t>
  </si>
  <si>
    <t xml:space="preserve">CG-06-FV-50  </t>
  </si>
  <si>
    <t>CS-06-B-50</t>
  </si>
  <si>
    <t>CS-06-C-50</t>
  </si>
  <si>
    <t>CS-06-F-50</t>
  </si>
  <si>
    <t>CT-10-C-30</t>
  </si>
  <si>
    <t>CT-10-F-30</t>
  </si>
  <si>
    <t>CS-03-B-50</t>
  </si>
  <si>
    <t>CT-06-B-50</t>
  </si>
  <si>
    <t>CT-06-BV-50</t>
  </si>
  <si>
    <t>CT-06-C-50</t>
  </si>
  <si>
    <t>CT-06-CV-50</t>
  </si>
  <si>
    <t>CT-06-F-50</t>
  </si>
  <si>
    <t>CS-H10-FV-30</t>
  </si>
  <si>
    <t>CT-10-B-30</t>
  </si>
  <si>
    <t xml:space="preserve">CG 10 B 30  </t>
  </si>
  <si>
    <t xml:space="preserve">CG 10 C 30  </t>
  </si>
  <si>
    <t xml:space="preserve">CG 10 CV 30  </t>
  </si>
  <si>
    <t xml:space="preserve">CG 10 F 30  </t>
  </si>
  <si>
    <t>CGR-02-B-30</t>
  </si>
  <si>
    <t>CGR-02-C-30</t>
  </si>
  <si>
    <t>CGR-02-F-30</t>
  </si>
  <si>
    <t>CGR-02-B-K-30</t>
  </si>
  <si>
    <t>CGR-02-C-K-30</t>
  </si>
  <si>
    <t>F3-CGR-02-C-K-30</t>
  </si>
  <si>
    <t>CGR-02-F-K-30</t>
  </si>
  <si>
    <t>CT-10-CY-30</t>
  </si>
  <si>
    <t>C-175-B-20</t>
  </si>
  <si>
    <t>C-175-C-20</t>
  </si>
  <si>
    <t>C-175-F-20</t>
  </si>
  <si>
    <t>UPF1S-C-08-B-W-20</t>
  </si>
  <si>
    <t>UPF1S-C-08-F-W-1-20</t>
  </si>
  <si>
    <t>UPF1S-CL-08-B-W-20</t>
  </si>
  <si>
    <t>UPF2S-C-10-B-W-1-3S-M-U-H5-20</t>
  </si>
  <si>
    <t>UPF1S-CL-08-F-W-20</t>
  </si>
  <si>
    <t>UPF1S-CL-10-B-W-20</t>
  </si>
  <si>
    <t xml:space="preserve">XT 03 3B 30  </t>
  </si>
  <si>
    <t xml:space="preserve">XT 06 3B 30  </t>
  </si>
  <si>
    <t>UPF2S-CL-06-A-W-3-M-U-BL6-20</t>
  </si>
  <si>
    <t>RG-10-A3-30</t>
  </si>
  <si>
    <t>RT-12-DP2-30</t>
  </si>
  <si>
    <t xml:space="preserve">XG 03 1B 30  </t>
  </si>
  <si>
    <t xml:space="preserve">XG 03 2F 30  </t>
  </si>
  <si>
    <t>XG 03 3F 30 see 709411 XG2V 6FW 10</t>
  </si>
  <si>
    <t xml:space="preserve">XCG 03 1B 30  </t>
  </si>
  <si>
    <t xml:space="preserve">XCT 03 1B 30  </t>
  </si>
  <si>
    <t xml:space="preserve">XG-06-1B-30  </t>
  </si>
  <si>
    <t>RG-03-X2-30</t>
  </si>
  <si>
    <t>RT-10-D4-30</t>
  </si>
  <si>
    <t>RCG-03-B2-30</t>
  </si>
  <si>
    <t>RCG-03-D2-30</t>
  </si>
  <si>
    <t>RCG-03-F3-30</t>
  </si>
  <si>
    <t>RG-03-B2-30</t>
  </si>
  <si>
    <t>RG-03-Z2-30</t>
  </si>
  <si>
    <t>RT-03-F4-30</t>
  </si>
  <si>
    <t>RT-12-D4-30</t>
  </si>
  <si>
    <t xml:space="preserve">XG-06-2B-30  </t>
  </si>
  <si>
    <t xml:space="preserve">XG 06 3F 30  </t>
  </si>
  <si>
    <t xml:space="preserve">XG 10 3F 30  </t>
  </si>
  <si>
    <t xml:space="preserve">XCG 03 3F 30  </t>
  </si>
  <si>
    <t xml:space="preserve">XCG-06-3F-30  </t>
  </si>
  <si>
    <t xml:space="preserve">XCG-10-3F-30  </t>
  </si>
  <si>
    <t xml:space="preserve">XCT-03-2B-30  </t>
  </si>
  <si>
    <t xml:space="preserve">XCT 03 3F 30  </t>
  </si>
  <si>
    <t xml:space="preserve">XCT 06 3F 30  </t>
  </si>
  <si>
    <t xml:space="preserve">XG-06-2F-30  </t>
  </si>
  <si>
    <t xml:space="preserve">XT 03 3F 30  </t>
  </si>
  <si>
    <t xml:space="preserve">XCT 03 2F 30  </t>
  </si>
  <si>
    <t xml:space="preserve">XCG-10-1F-30  </t>
  </si>
  <si>
    <t>RCG-03-A2-30</t>
  </si>
  <si>
    <t>RCG-03-F2-30</t>
  </si>
  <si>
    <t>RCT-03-B1-30</t>
  </si>
  <si>
    <t>RCT-03-F2-30</t>
  </si>
  <si>
    <t>RG-03-F2-30</t>
  </si>
  <si>
    <t>RCG-03-F1-30</t>
  </si>
  <si>
    <t>RG-03-F4-30</t>
  </si>
  <si>
    <t>RG-03-D3-30</t>
  </si>
  <si>
    <t>RG-03-B1-30</t>
  </si>
  <si>
    <t>RCG-03-F4-30</t>
  </si>
  <si>
    <t>RCS-10-D2-30</t>
  </si>
  <si>
    <t>RG-03-Y1-30</t>
  </si>
  <si>
    <t>RT-03-Y2-30</t>
  </si>
  <si>
    <t>F3-FCG-H02-25-B-10</t>
  </si>
  <si>
    <t>F3-FCG-H02-50-B-10</t>
  </si>
  <si>
    <t>FCG-H03-160-B-10</t>
  </si>
  <si>
    <t>DGMB-03-10</t>
  </si>
  <si>
    <t>FCG-H02-25-10</t>
  </si>
  <si>
    <t>FCG-H02-50-10</t>
  </si>
  <si>
    <t>FCG-H03-160-10</t>
  </si>
  <si>
    <t xml:space="preserve">COVER  </t>
  </si>
  <si>
    <t>FG-03-28-22</t>
  </si>
  <si>
    <t xml:space="preserve">FRG 03 C 28 22  </t>
  </si>
  <si>
    <t xml:space="preserve">FRG 03 F 28 22  </t>
  </si>
  <si>
    <t>FCG-03-28-22</t>
  </si>
  <si>
    <t>FG-02-1500-50</t>
  </si>
  <si>
    <t>FCG-02-300-50</t>
  </si>
  <si>
    <t>FCG-02-1500-50</t>
  </si>
  <si>
    <t>FG-02-300-50</t>
  </si>
  <si>
    <t>FCG-02-1500-L-50</t>
  </si>
  <si>
    <t>F3-FG-02-1500-50</t>
  </si>
  <si>
    <t>FCG-02-1500-T-50</t>
  </si>
  <si>
    <t>FG-02-1500-T-50</t>
  </si>
  <si>
    <t>FCG-02-2300-50</t>
  </si>
  <si>
    <t>FG-02-2300-50</t>
  </si>
  <si>
    <t>DCPFS-08-50-20</t>
  </si>
  <si>
    <t>DCPFS-12-50-20</t>
  </si>
  <si>
    <t xml:space="preserve">DICPFS 06 05 10  </t>
  </si>
  <si>
    <t xml:space="preserve">DICPFS 08 05 10  </t>
  </si>
  <si>
    <t xml:space="preserve">DICPFS 10 05 10  </t>
  </si>
  <si>
    <t xml:space="preserve">DICPFS 12 05 10  </t>
  </si>
  <si>
    <t xml:space="preserve">DICPFS-12-25-10  </t>
  </si>
  <si>
    <t>DT8P1-02-5-10</t>
  </si>
  <si>
    <t>DT8P1-03-5-10-IN13</t>
  </si>
  <si>
    <t>DT8P1-03-65-10-IN13</t>
  </si>
  <si>
    <t>DT8P1-10-5-11-IN13</t>
  </si>
  <si>
    <t>DT8P1-10-65-11-IN13</t>
  </si>
  <si>
    <t>DT8P1-06-5-11-IN13</t>
  </si>
  <si>
    <t>DT8P1-06-65-11-IN13</t>
  </si>
  <si>
    <t>DS8P1-06-65-11</t>
  </si>
  <si>
    <t>DT8P1-10-30-11-IN13</t>
  </si>
  <si>
    <t>DT8P1-02-30-10</t>
  </si>
  <si>
    <t>DT8P1-03-30-10-IN13</t>
  </si>
  <si>
    <t>DT8P1-06-30-11-IN13</t>
  </si>
  <si>
    <t>ABS-12-10</t>
  </si>
  <si>
    <t xml:space="preserve">F3-C5G-815-S3  </t>
  </si>
  <si>
    <t>DGMA-8-W-10</t>
  </si>
  <si>
    <t>DT8P1-06-50-11</t>
  </si>
  <si>
    <t>4CT-03-A-21</t>
  </si>
  <si>
    <t xml:space="preserve">4CG 03 A 21  </t>
  </si>
  <si>
    <t xml:space="preserve">4CG 06 A 21  </t>
  </si>
  <si>
    <t>4CT-10-C-21</t>
  </si>
  <si>
    <t xml:space="preserve">4CG 10 DA 21  </t>
  </si>
  <si>
    <t xml:space="preserve">4CG 10 A 21  </t>
  </si>
  <si>
    <t xml:space="preserve">4CG 10 F 21  </t>
  </si>
  <si>
    <t xml:space="preserve">4CS 06 DA 21  </t>
  </si>
  <si>
    <t>DG5S4-02-2C-X-1-T-M-FW-B6-30</t>
  </si>
  <si>
    <t>DG5V-10-H-2C-M-U-H-10</t>
  </si>
  <si>
    <t>DG5V-10-H-3C-M-U-H-10</t>
  </si>
  <si>
    <t>DG5V-10-H-6C-M-U-A-10</t>
  </si>
  <si>
    <t>DG5V-10-H-8C-2-E-VM-U-C-10</t>
  </si>
  <si>
    <t>DG5V-10-H-2A-M-U-H-10</t>
  </si>
  <si>
    <t>DG5V-10-6C-X-T-10-EN55</t>
  </si>
  <si>
    <t>DG5V-10-H-6C-M-U-H-10</t>
  </si>
  <si>
    <t>DG5V-10-H-2C-1-M-U-A-10</t>
  </si>
  <si>
    <t>DG5V-10-H-2C-E-M-U-A-10</t>
  </si>
  <si>
    <t>DG5V-10-H-2C-E-M-U-C-10</t>
  </si>
  <si>
    <t>DG5V-10-H-33C-T-M-U-H-10</t>
  </si>
  <si>
    <t>DG5V-10-H-8C-E-VM-U-H-10</t>
  </si>
  <si>
    <t>DG5V-8-H-2A-M-FW-B-10</t>
  </si>
  <si>
    <t>DG5V-8-H-2C-M-FW-B-10</t>
  </si>
  <si>
    <t>DG5V-8-H-6C-M-FW-B-10</t>
  </si>
  <si>
    <t>DG5V-10-H-6C-M-U-C-10</t>
  </si>
  <si>
    <t>DG5V-8-H-4C-VM-FW-B-10</t>
  </si>
  <si>
    <t>DG5V-10-H-6C-3-M-U-H-10</t>
  </si>
  <si>
    <t>DG5V-10-H-6C-2-VM-U-H-10</t>
  </si>
  <si>
    <t>DG5V-10-H-2C-2-E-M-U-A-10</t>
  </si>
  <si>
    <t>DG3V-10-2C-1-10</t>
  </si>
  <si>
    <t>DG5V-10-H-0C-E-M-U-C-10</t>
  </si>
  <si>
    <t>DG5V-8-H-2C-T-M-FTWL-B-10</t>
  </si>
  <si>
    <t>DG5V-10-H-2C-T-M-U-A-10-EN503</t>
  </si>
  <si>
    <t>DG5V-10-H-6C-2-E-M-U-A-10</t>
  </si>
  <si>
    <t>DG5V-10-H-2B-M-U-H-10-EN503</t>
  </si>
  <si>
    <t>DG5V-10-H-4C-E-VM-U-H-10</t>
  </si>
  <si>
    <t>DG5V-10-H-2C-M-U-C-10</t>
  </si>
  <si>
    <t>DG5V-10-H-8C-E-VM-U-A-10</t>
  </si>
  <si>
    <t>DG5V-10-H-2C-1-T-M-U-H-10</t>
  </si>
  <si>
    <t>DG5V-10-H-2C-3-M-U-H-10</t>
  </si>
  <si>
    <t>DG5V-10-H-6C-3-T-VM-U-H-10</t>
  </si>
  <si>
    <t>DG5V-10-H-6C-2-T-M-U-H-10</t>
  </si>
  <si>
    <t>DG5V-10-H-2C-T-M-U-B-10</t>
  </si>
  <si>
    <t>DG5V-10-H-6C-2-M-U-C-10</t>
  </si>
  <si>
    <t>DG5V-10-H-6C-1-M-U-H-10</t>
  </si>
  <si>
    <t>DG5V-10-H-2A-M-U-B-10</t>
  </si>
  <si>
    <t>DG5V-8-H-B-2A-Z-PPA-VM-U-H-10-EN600</t>
  </si>
  <si>
    <t>DG5V-8-H-2BL-PPA-E-M-U-H-10</t>
  </si>
  <si>
    <t>DG17V-8-6N-10</t>
  </si>
  <si>
    <t>DG17V-8-2C-10</t>
  </si>
  <si>
    <t>DG17V-8-8C-10</t>
  </si>
  <si>
    <t>DG17V-8-6C-10</t>
  </si>
  <si>
    <t>DG17V-8-2N-10</t>
  </si>
  <si>
    <t>DG5V-10-H-0A-M-U-H-11</t>
  </si>
  <si>
    <t>DG5V-10-H-8C-2-E-VM-U-C-10-EN503</t>
  </si>
  <si>
    <t>DG5V-10-H-2N-M-U-H-11</t>
  </si>
  <si>
    <t>DG5V-8-H-2A-X-7-T-M-FW-B-10</t>
  </si>
  <si>
    <t>DG5V-8-H-0A-T-M-FW-B-10</t>
  </si>
  <si>
    <t>DG5V-10-H-6C-2-E-T-M-U-C-10</t>
  </si>
  <si>
    <t>DG5V-10-H-0C-M-U-C-10</t>
  </si>
  <si>
    <t>KDG4V-3S-2C19S-M-U-H5-60</t>
  </si>
  <si>
    <t>KTG4V-3S-2B08N-M-U-H5-60</t>
  </si>
  <si>
    <t>KDG4V-3S-33C22A-H-M-U-H5-60</t>
  </si>
  <si>
    <t>KDG4V-3S-2C15N-M-U-H5-60</t>
  </si>
  <si>
    <t>KDG4V-3S-33C04A-M-U-GP5-60</t>
  </si>
  <si>
    <t>KTG4V-3S-2B08N-VM-U-H5-60-EN427</t>
  </si>
  <si>
    <t>KDG5V-10-33C550N-X-T-H-M-U-H1-11</t>
  </si>
  <si>
    <t>KDG5V-10-33C550N-EX-VM-U-H1-11</t>
  </si>
  <si>
    <t>KDG5V-10-33C550N-X-M-U-H1-11</t>
  </si>
  <si>
    <t>KBDG5V-10-33C550N-X-M1-PE7-H1-11</t>
  </si>
  <si>
    <t>KBDG5V-10-33C550N-M1-PE7-H1-11</t>
  </si>
  <si>
    <t>KBDG5V-10-2C550N310-H-M1-PE7-H1-11</t>
  </si>
  <si>
    <t>KBDG5V-10-2C550N-M1-PE7-H1-11</t>
  </si>
  <si>
    <t>KBTG4V-3-2B08N-M1-PE7-H7-10-EN427</t>
  </si>
  <si>
    <t>KTG4V-3-2B08N-M-U-H7-60-EN427</t>
  </si>
  <si>
    <t>KBFDG5V-10-33C700N-X-M2-PE7-H1-10</t>
  </si>
  <si>
    <t>KHDG5V-10-2C700N420-E-X-VM-U1-H1-10</t>
  </si>
  <si>
    <t>KBFDG5V-10-2C700N-EX-M1-PH7-H1-10</t>
  </si>
  <si>
    <t>KBFDG5V-10-2C700N-EX-M2-PC7-H1-10</t>
  </si>
  <si>
    <t>KBFDG5V-10-33C700N-EX-M2-PC7-H1-10</t>
  </si>
  <si>
    <t>KDG5V-10-33C550N-EX-H-M-U-H1-11</t>
  </si>
  <si>
    <t>KBHDG5V-10-33C700N-M2-PE7-H4-12</t>
  </si>
  <si>
    <t>DG4V-3-6C-M-FTWL-H7-60</t>
  </si>
  <si>
    <t>DG4V-3-6C-M-FW-D6-60</t>
  </si>
  <si>
    <t>DG4V-3-2A-M-FPA5WL-B6-60</t>
  </si>
  <si>
    <t>DG4V-3-2C-M-FTWL-H7-60</t>
  </si>
  <si>
    <t>DG4V-3-6C-M-FTWL-B6-60</t>
  </si>
  <si>
    <t>DG4V-3-2A-M-FTWL-B6-60</t>
  </si>
  <si>
    <t>PBDG4S4-L-012N-B-60</t>
  </si>
  <si>
    <t>PA5DG4S4-LW-018C-B-60</t>
  </si>
  <si>
    <t>DG17V-3-2A-60</t>
  </si>
  <si>
    <t>DG17V-3-2C-60</t>
  </si>
  <si>
    <t>DG17V-3-2N-60</t>
  </si>
  <si>
    <t>DG20V-3-2A-60</t>
  </si>
  <si>
    <t>DG20V-3-2C-60</t>
  </si>
  <si>
    <t>DG18V-3-2C-P-60</t>
  </si>
  <si>
    <t>DG18V-3-6C-P-60</t>
  </si>
  <si>
    <t>DG18V-3-2A-P-60</t>
  </si>
  <si>
    <t>DG4S2-012A-U-B-60</t>
  </si>
  <si>
    <t>DG17V-3-0C-60</t>
  </si>
  <si>
    <t>DG17V-3-0N-60</t>
  </si>
  <si>
    <t>DG17V-3-6C-60</t>
  </si>
  <si>
    <t>DG17V-3-2NL-60</t>
  </si>
  <si>
    <t>DG17V-3-6N-60</t>
  </si>
  <si>
    <t>DG4V-3-2AL-M-FTWL-B6-60</t>
  </si>
  <si>
    <t>DG4V-3-6C-M-FPA5W-B6-60</t>
  </si>
  <si>
    <t>DG4V-3-2A-M-FPA3W-H7-60</t>
  </si>
  <si>
    <t>DG4V-3-2A-M-FTWL-HL7-60</t>
  </si>
  <si>
    <t>DG20V-3-0A-60</t>
  </si>
  <si>
    <t>DG20V-3-2A-2-60</t>
  </si>
  <si>
    <t>DG17V-3-8C-60</t>
  </si>
  <si>
    <t>DG3V-3-2A-7-B-60</t>
  </si>
  <si>
    <t>DG17V-3-2CL-60</t>
  </si>
  <si>
    <t>DG3V-3-2N-7-B-60</t>
  </si>
  <si>
    <t>DG17V-3-8N-60</t>
  </si>
  <si>
    <t>DG17V-3-2AL-60</t>
  </si>
  <si>
    <t>DG18V-3-8C-V-P-61</t>
  </si>
  <si>
    <t>DG18V-3-0C-B-60</t>
  </si>
  <si>
    <t>DG18V-3-2A-B-60</t>
  </si>
  <si>
    <t>DG4V-3-2AL-M-FPBWL-B6-60</t>
  </si>
  <si>
    <t>DG4V-3-6C-M-FPA5WL-H7-60</t>
  </si>
  <si>
    <t>DG4V-3-2C-M-FPA5WL-H7-60</t>
  </si>
  <si>
    <t>DG17V-3-0A-60</t>
  </si>
  <si>
    <t>DG18V-3-2C-B-60</t>
  </si>
  <si>
    <t>DG18V-3-6C-B-60</t>
  </si>
  <si>
    <t>DG4S4-011C-D-60</t>
  </si>
  <si>
    <t>DG3V-3-2C-7-B-60</t>
  </si>
  <si>
    <t>DG4V-3-6C-M-FWL-B6-60-EN21</t>
  </si>
  <si>
    <t>DG17V-3-6CL-60</t>
  </si>
  <si>
    <t>DG4V-3-8C-VM-U-B6-61-EN21</t>
  </si>
  <si>
    <t>DG4V-3-2A-M-U-H7-60-EN21</t>
  </si>
  <si>
    <t>DG4V-3-2C-M-FWL-B6-60-EN21</t>
  </si>
  <si>
    <t>DG4V-3-0B-M-U-B6-60-EN21</t>
  </si>
  <si>
    <t>DG4V-3-2A-M-U-B6-60-EN21</t>
  </si>
  <si>
    <t>DG4V-3-2C-M-U-B6-60-EN21</t>
  </si>
  <si>
    <t xml:space="preserve">DG18V 3 2N B 60  </t>
  </si>
  <si>
    <t>DG4V-3-6N-M-FWL-B6-60-EN21</t>
  </si>
  <si>
    <t>DG3V-3-2A-T-7-B-60</t>
  </si>
  <si>
    <t>DG4V-3-2N-M-U-B6-60-EN21</t>
  </si>
  <si>
    <t>DG3V-3-2AL-T-7-B-60</t>
  </si>
  <si>
    <t>DG4V-3-22A-M-S5-FJ-H2-60</t>
  </si>
  <si>
    <t>DG4V-3S-8BL209-VM-U-HH5-60</t>
  </si>
  <si>
    <t>DG4V-3-6C-M-U-H7-60-EN21</t>
  </si>
  <si>
    <t xml:space="preserve">DG20V 3 2CL 60  </t>
  </si>
  <si>
    <t>DG4V-3-0B-M-U-H7-60-EN21</t>
  </si>
  <si>
    <t>DG17V-3-6NL-60</t>
  </si>
  <si>
    <t>DG4V-3-0F-M-U-H7-60</t>
  </si>
  <si>
    <t>DG4V-3-6C-M-FTWL-D7-H7-60</t>
  </si>
  <si>
    <t>DG4V-3S-8C-VM-X1-H4-61</t>
  </si>
  <si>
    <t>DG4V-3S-2A-M-X2-ER4-60</t>
  </si>
  <si>
    <t>DG4V-3-2C-M-FTWL-D7-H7-60</t>
  </si>
  <si>
    <t>DG4V-3-2A-H-M-FPBWL-H7-60</t>
  </si>
  <si>
    <t>DG4V-3-2N-M-U-H7-60-EN21</t>
  </si>
  <si>
    <t xml:space="preserve">DG18V-3-2AL-B-60  </t>
  </si>
  <si>
    <t>DG4V-3-7C-M-U-H7-60-EN21</t>
  </si>
  <si>
    <t>DG4V-3-6N-M-U-B6-60-EN21</t>
  </si>
  <si>
    <t>DG4V-3-2C-M-U-H7-60-EN21</t>
  </si>
  <si>
    <t>DG4V-3S-2N-M-X1-H4-60</t>
  </si>
  <si>
    <t>DG4V-3-7B-M-FTWL-H7-60</t>
  </si>
  <si>
    <t>DG4V-3-2A-M-FTWL-D7-HL7-60</t>
  </si>
  <si>
    <t>DG4V-3-2AL-M-FW-D6-60</t>
  </si>
  <si>
    <t>DG4V4-01-2A-M-X1-ER4-10</t>
  </si>
  <si>
    <t>DG17V4-012C-10</t>
  </si>
  <si>
    <t>DG17V4-016C-10</t>
  </si>
  <si>
    <t>DG17V4-018C-10</t>
  </si>
  <si>
    <t>DG17V4-010N-10</t>
  </si>
  <si>
    <t>DG17V4-012N-10</t>
  </si>
  <si>
    <t>DG17V4-016N-10</t>
  </si>
  <si>
    <t>DG17V4-018N-10</t>
  </si>
  <si>
    <t>DG4V-3-2A-M-U-D6-60-EN21</t>
  </si>
  <si>
    <t>DG4V-3-0C-M-U-H7-60-EN21</t>
  </si>
  <si>
    <t>DG4S4-LW-012A-7-H-60-S471</t>
  </si>
  <si>
    <t>DG4V-3-6C-M-FWL-H7-60-EN21</t>
  </si>
  <si>
    <t>DG17V4-010C-10</t>
  </si>
  <si>
    <t>DG17V4-012A-10</t>
  </si>
  <si>
    <t>DG4V-3-6C-M-U-D6-60-EN21</t>
  </si>
  <si>
    <t>DG17V4-0133C-10</t>
  </si>
  <si>
    <t>DG17V4-016C-H-10</t>
  </si>
  <si>
    <t>DG4V4-01-6C-M-U-B-5-10-S324</t>
  </si>
  <si>
    <t>DG4S4-LW-012C-H-60-S599</t>
  </si>
  <si>
    <t>DG4V4-01-2C-M-U-B-5-10-S324</t>
  </si>
  <si>
    <t>DG4V-3-2AL-M-U-H7-60-EN634</t>
  </si>
  <si>
    <t>DG4V-3S-2A-M-X5-H4-60</t>
  </si>
  <si>
    <t>DG4V-3S-6C-M-X5-H4-60</t>
  </si>
  <si>
    <t>DG4V-3S-2AL-M-X5-H4-60</t>
  </si>
  <si>
    <t>DG18V4-012A-10</t>
  </si>
  <si>
    <t>DG18V4-012C-10</t>
  </si>
  <si>
    <t>DG4V-3-2A-M-S3-FW-B6-60-EN404</t>
  </si>
  <si>
    <t>DG4V-3R-2N-VM-KUPM4L-D7-HM7-60</t>
  </si>
  <si>
    <t>DG4V-3R-6C-VM-KUPM4L-D7-HM7-60</t>
  </si>
  <si>
    <t>DG4V-3-2C-M-KUPM4L-D7-H7-60</t>
  </si>
  <si>
    <t>DG4V-3-2A208-VM-KUPM4L-D7-HH7-60</t>
  </si>
  <si>
    <t>DG4V-3-6C-M-KUPM4L-D7-H7-60</t>
  </si>
  <si>
    <t>DG4V-3-2A-M-KUPM4L-D7-H7-60</t>
  </si>
  <si>
    <t>DG4V-3-2N-M-KUPM4L-D7-H7-60</t>
  </si>
  <si>
    <t>DG4V4-01-6C-M-X5-H4-10</t>
  </si>
  <si>
    <t>DG4V4-01-33C-VM-X5-H4-10</t>
  </si>
  <si>
    <t>DG4V-3S-33C-VM-X5-H4-60</t>
  </si>
  <si>
    <t>DG4V-3-2AL-M-FW-B6-60</t>
  </si>
  <si>
    <t>DG4V-3-6C-M-FJ-B6-60</t>
  </si>
  <si>
    <t>DG4V-3-6C-M-FJ-H7-60</t>
  </si>
  <si>
    <t>DG4V-3-6C-M-FW-H7-60</t>
  </si>
  <si>
    <t>DG4V-3-2A-M-FW-B6-60</t>
  </si>
  <si>
    <t>DG4V-3-6C-M-FW-B6-60</t>
  </si>
  <si>
    <t>DG4V-3-2AL-P2-M-U-DP7-60</t>
  </si>
  <si>
    <t>DG4V-3-2A-M-FW-H7-60</t>
  </si>
  <si>
    <t>DG4V-3-6C-VM-FW-B6-60</t>
  </si>
  <si>
    <t>DG4V-3-2C-M-FW-B6-60</t>
  </si>
  <si>
    <t>DG4V-3-6C-M-FTJL-B6-60</t>
  </si>
  <si>
    <t>DG4V-3-2C-M-FTWL-B6-60</t>
  </si>
  <si>
    <t>DG4V-3-2N-M-FW-B6-60</t>
  </si>
  <si>
    <t>DGMX2-5-PA-FW-B-30</t>
  </si>
  <si>
    <t>DGMFN-5-X-A2H-B2H-30</t>
  </si>
  <si>
    <t>DGMC2-5-AT-FW-BT-FW-B-30</t>
  </si>
  <si>
    <t>DGMPC-5-ABM-30</t>
  </si>
  <si>
    <t>DGMR-5-A1-FW-30</t>
  </si>
  <si>
    <t>DGMR-5-B1-FW-30</t>
  </si>
  <si>
    <t>DGMR-5-A1-FW-B1-FW-30</t>
  </si>
  <si>
    <t>DGMC-5-AT-FW-B-30</t>
  </si>
  <si>
    <t>DGMC-5-PT-FH-B-30</t>
  </si>
  <si>
    <t xml:space="preserve">DGMX2-5N-PA-BW-S-30  </t>
  </si>
  <si>
    <t xml:space="preserve">DGFN 06 50  </t>
  </si>
  <si>
    <t xml:space="preserve">DGX-H06-3-60  </t>
  </si>
  <si>
    <t xml:space="preserve">DGX-H06-3E-60  </t>
  </si>
  <si>
    <t xml:space="preserve">DGX H06 2 60  </t>
  </si>
  <si>
    <t>DGMC2 5 AB GW BA GW</t>
  </si>
  <si>
    <t>DGMFN-5-Y-A2W-B2W-30</t>
  </si>
  <si>
    <t>DGMFN 5 X A2W B2W 30</t>
  </si>
  <si>
    <t>DGMPC-5-ABK-30</t>
  </si>
  <si>
    <t>DGMPC-5-BAK-30</t>
  </si>
  <si>
    <t>DGMDC-5-Y-PK-30</t>
  </si>
  <si>
    <t>DGMDC-5-X-TK-30</t>
  </si>
  <si>
    <t>DGMDC-5-Y-BK-30</t>
  </si>
  <si>
    <t>DGMPC-5-ABK-BAK-30</t>
  </si>
  <si>
    <t>DGMPC-5-D-ABK-D-BAK-30</t>
  </si>
  <si>
    <t>DGMPC-5-ABM-BAM-30</t>
  </si>
  <si>
    <t>DGMPC-5-ABN-BAN-30</t>
  </si>
  <si>
    <t>DGMC-5-PT-GW-B-30</t>
  </si>
  <si>
    <t>DGMC 5 AT GW B 30</t>
  </si>
  <si>
    <t>DGMC-5-BT-GW-B-30</t>
  </si>
  <si>
    <t>DGMC2-5-AT-GW-BT-GW-B-30</t>
  </si>
  <si>
    <t xml:space="preserve">DGMX2 5 PP BW B 30  </t>
  </si>
  <si>
    <t xml:space="preserve">DGMX2 5 PA BW B 30  </t>
  </si>
  <si>
    <t xml:space="preserve">DGMX2 5 PB BW B 30  </t>
  </si>
  <si>
    <t>DGMC2-5-AT-BW-BT-BW-</t>
  </si>
  <si>
    <t xml:space="preserve">DGMX2 5 PP GW B 30  </t>
  </si>
  <si>
    <t>DGMFN-5-Y-A2H-B2H-30</t>
  </si>
  <si>
    <t>DGMC-5-PT-BW-S-30</t>
  </si>
  <si>
    <t xml:space="preserve">DGX H06 2 60 S19  </t>
  </si>
  <si>
    <t>DGMC-5-PT-BH-B-30</t>
  </si>
  <si>
    <t>DGMC-5-PT-GH-B-30</t>
  </si>
  <si>
    <t>DGMC-5-AT-BH-B-30</t>
  </si>
  <si>
    <t>DGMC-5-AT-GH-B-30</t>
  </si>
  <si>
    <t>DGMC-5-BT-BH-B-30</t>
  </si>
  <si>
    <t>DGMC2-5-AT-BH-BT-BH-B-30</t>
  </si>
  <si>
    <t>DGMC2-5-AT-GH-BT-GH-B-30</t>
  </si>
  <si>
    <t>DGMC2-5-AB-GH-BA-GH-30</t>
  </si>
  <si>
    <t>DGMC-5-PT-FW-B-30</t>
  </si>
  <si>
    <t>DGMX2-5-PP-FW-B-30</t>
  </si>
  <si>
    <t xml:space="preserve">DGX H06 1L 60  </t>
  </si>
  <si>
    <t>DGMX2-5-PP-AK-B-30</t>
  </si>
  <si>
    <t>DGMX2-5-PB-AK-B-30</t>
  </si>
  <si>
    <t>DGMX2-5-PA-AW-E-B-30</t>
  </si>
  <si>
    <t>DGMC2-5-AT-FW-BT-FW-S-30</t>
  </si>
  <si>
    <t>DGMX2-5-PP-AH-B-30</t>
  </si>
  <si>
    <t>DGMX2-5-PP-GW-E-B-30</t>
  </si>
  <si>
    <t>DGMX2-5-PP-FW-E-B-30</t>
  </si>
  <si>
    <t>DGMX2-5-PB-AH-B-30</t>
  </si>
  <si>
    <t>DGMC-5-BT-FW-B-30</t>
  </si>
  <si>
    <t>DGMX2-5-PA-FW-RC-B-30</t>
  </si>
  <si>
    <t>DGMX2-5-PP-FH-B-30</t>
  </si>
  <si>
    <t>DGMX2-5-PP-FW-RC-S-30</t>
  </si>
  <si>
    <t>DGMX2-5-PP-BW-RC-B-30</t>
  </si>
  <si>
    <t>DGMX2-5-PP-GW-RC-B-30</t>
  </si>
  <si>
    <t>DGMPC-5-BAN-30</t>
  </si>
  <si>
    <t>DGMPC-5-BAM-30</t>
  </si>
  <si>
    <t>DGMFN-5-X-A1W-30</t>
  </si>
  <si>
    <t>DGMX2-5-PB-FW-B-30</t>
  </si>
  <si>
    <t>DGMDC-5-X-TM-30</t>
  </si>
  <si>
    <t>DGMR-5-A2-FW-B2-FW-30</t>
  </si>
  <si>
    <t>DGMX2-5-PB-FH-B-30</t>
  </si>
  <si>
    <t>DGMX2-5-PA-FH-B-30</t>
  </si>
  <si>
    <t>DGMPC-5-D-ABM-D-BAM-30</t>
  </si>
  <si>
    <t>DGMDC-5-Y-PM-30</t>
  </si>
  <si>
    <t>DGMPC-5-D-ABN-D-BAN-30</t>
  </si>
  <si>
    <t>DGMPC-5-ABN-30</t>
  </si>
  <si>
    <t xml:space="preserve">DGMX2 5 PA AH B 30  </t>
  </si>
  <si>
    <t xml:space="preserve">DGMX2-5-PA-BW-E-B-30  </t>
  </si>
  <si>
    <t xml:space="preserve">DGMX2-5-PA-GW-E-B-30  </t>
  </si>
  <si>
    <t>DGMC-5-BT-AW-B-30</t>
  </si>
  <si>
    <t>DGMFN-5-X-P2K-30</t>
  </si>
  <si>
    <t xml:space="preserve">DGMX2 5 PB BW E B 30  </t>
  </si>
  <si>
    <t xml:space="preserve">DGMX2 5 PP BH E B 30  </t>
  </si>
  <si>
    <t>DGMC-5-AT-AW-B-30</t>
  </si>
  <si>
    <t>DGMC2-5-AB-FW-BA-FW-S-30</t>
  </si>
  <si>
    <t>DGMDC-5-Y-PL-30</t>
  </si>
  <si>
    <t xml:space="preserve">DGPC 06 AB 51  </t>
  </si>
  <si>
    <t xml:space="preserve">DGPC 06 A 51  </t>
  </si>
  <si>
    <t xml:space="preserve">DGPC-06-B-51  </t>
  </si>
  <si>
    <t xml:space="preserve">DGPC 06 DADB 51  </t>
  </si>
  <si>
    <t xml:space="preserve">DGPC 06 DA 51  </t>
  </si>
  <si>
    <t xml:space="preserve">DGPC 06 DB 51  </t>
  </si>
  <si>
    <t xml:space="preserve">DGC 06 B 60  </t>
  </si>
  <si>
    <t xml:space="preserve">DGC 06 C 60  </t>
  </si>
  <si>
    <t xml:space="preserve">DGC 06 F 60  </t>
  </si>
  <si>
    <t xml:space="preserve">DGX 06 2FE 60  </t>
  </si>
  <si>
    <t xml:space="preserve">DGX 06 2FL 60  </t>
  </si>
  <si>
    <t xml:space="preserve">DGX 06 1F 60  </t>
  </si>
  <si>
    <t xml:space="preserve">DGX 06 3F 60  </t>
  </si>
  <si>
    <t xml:space="preserve">DGX 06 3FL 60  </t>
  </si>
  <si>
    <t xml:space="preserve">DGX 06 3FE 60  </t>
  </si>
  <si>
    <t xml:space="preserve">DGX 06 1FE 60  </t>
  </si>
  <si>
    <t xml:space="preserve">DGX 06 2F 60  </t>
  </si>
  <si>
    <t>DGMC-5-PT-FK-S-30</t>
  </si>
  <si>
    <t>DGMC-5-PT-GW-S-30</t>
  </si>
  <si>
    <t xml:space="preserve">DGMX2 5 PP BW S 30  </t>
  </si>
  <si>
    <t xml:space="preserve">DGMX2 5 PA BW S 30  </t>
  </si>
  <si>
    <t xml:space="preserve">DGMX2 5 PA BW E S 30  </t>
  </si>
  <si>
    <t xml:space="preserve">DGMX2 5 PB BW S 30  </t>
  </si>
  <si>
    <t xml:space="preserve">DGMX2 5 PB BW E S 30  </t>
  </si>
  <si>
    <t>DGMFN-5-Y-A1W-30</t>
  </si>
  <si>
    <t>DGMFN-5-X-A1W-B1W-30</t>
  </si>
  <si>
    <t>DGMFN-5-X-P1W-30</t>
  </si>
  <si>
    <t>DGMFN-5-X-P2W-30</t>
  </si>
  <si>
    <t>DGMDC-5-Y-AK-BK-30</t>
  </si>
  <si>
    <t>DGMDC-5-Y-AK-30</t>
  </si>
  <si>
    <t>DGMC-5-PT-GW-RC-B-30</t>
  </si>
  <si>
    <t xml:space="preserve">DGMX2 5 PP BW E B 30  </t>
  </si>
  <si>
    <t xml:space="preserve">DGMR1 5 PP FW B 30  </t>
  </si>
  <si>
    <t>DGMC 5 PT BW B 30</t>
  </si>
  <si>
    <t>DGMC-5-AT-BW-B-30</t>
  </si>
  <si>
    <t>DGMC-5-BT-BW-B-30</t>
  </si>
  <si>
    <t>DGMC2-5-AB-BW-BA-BW-30</t>
  </si>
  <si>
    <t xml:space="preserve">DGMX2 5 PA GW B 30  </t>
  </si>
  <si>
    <t xml:space="preserve">DGMX2 5 PB GW B 30  </t>
  </si>
  <si>
    <t>DGMDC-5-Y-PN-30</t>
  </si>
  <si>
    <t>DGMDC-5-X-TN-30</t>
  </si>
  <si>
    <t>DGMFN-5-Y-A2K-B2K-30</t>
  </si>
  <si>
    <t>DGMC-5-PT-FW-S-30</t>
  </si>
  <si>
    <t>DGMC2-5-AB-FW-BA-FW-30</t>
  </si>
  <si>
    <t xml:space="preserve">DGMX2 5 PP AW S 30  </t>
  </si>
  <si>
    <t xml:space="preserve">DGMX2 5 PP FW S 30  </t>
  </si>
  <si>
    <t xml:space="preserve">DGMX2 5 PP AW E S 30  </t>
  </si>
  <si>
    <t xml:space="preserve">DGMX2 5 PP FW E S 30  </t>
  </si>
  <si>
    <t xml:space="preserve">DGMX2 5 PA FW S 30  </t>
  </si>
  <si>
    <t xml:space="preserve">DGMX2 5 PB FW S 30  </t>
  </si>
  <si>
    <t>DGMFN-5-X-A2W-30</t>
  </si>
  <si>
    <t>DGMFN 5 X B2W 30</t>
  </si>
  <si>
    <t>DGMFN-5-Y-B2W-30</t>
  </si>
  <si>
    <t>DGMFN-5-Y-A2W-30</t>
  </si>
  <si>
    <t>DGMFN-5-Y-A1W-B1W-30</t>
  </si>
  <si>
    <t>DGMPC-5-D-ABK-30</t>
  </si>
  <si>
    <t>DGMPC-5-D-BAK-30</t>
  </si>
  <si>
    <t>DGMFN-5N-Y-A2W-B2W-30</t>
  </si>
  <si>
    <t>DGMPC-5N-ABK-BAK-30</t>
  </si>
  <si>
    <t>DGMC-5-BT-GH-B-30</t>
  </si>
  <si>
    <t xml:space="preserve">DGMX2 5 PP BH B 30  </t>
  </si>
  <si>
    <t xml:space="preserve">DGMX2 5 PP GH B 30  </t>
  </si>
  <si>
    <t xml:space="preserve">DGMX2 5 PP BK B 30  </t>
  </si>
  <si>
    <t xml:space="preserve">DGMX2 5 PP GK B 30  </t>
  </si>
  <si>
    <t xml:space="preserve">DGMX2 5 PA BH B 30  </t>
  </si>
  <si>
    <t xml:space="preserve">DGMX2 5 PA GH B 30  </t>
  </si>
  <si>
    <t xml:space="preserve">DGMX2 5 PB BH B 30  </t>
  </si>
  <si>
    <t xml:space="preserve">DGMX2 5 PB GH B 30  </t>
  </si>
  <si>
    <t>DGMC-5-PT-GK-B-30</t>
  </si>
  <si>
    <t xml:space="preserve">DGMX2 5 PA GK B 30  </t>
  </si>
  <si>
    <t>DGMC-5-PT-AW-B-30</t>
  </si>
  <si>
    <t xml:space="preserve">DGMX2 5 PP AW B 30  </t>
  </si>
  <si>
    <t xml:space="preserve">DGMX2 5 PA AW B 30  </t>
  </si>
  <si>
    <t xml:space="preserve">DGMX2 5 PB AW B 30  </t>
  </si>
  <si>
    <t xml:space="preserve">DGMX2 5 PP AW E B 30  </t>
  </si>
  <si>
    <t xml:space="preserve">CGM0620  </t>
  </si>
  <si>
    <t>DGMA-3-T2-20-S</t>
  </si>
  <si>
    <t xml:space="preserve">SM4A-5-20-10  </t>
  </si>
  <si>
    <t xml:space="preserve">Plug, Hex Head  </t>
  </si>
  <si>
    <t xml:space="preserve">SP269 B  </t>
  </si>
  <si>
    <t>CVI-32-D10-H-40-EN11</t>
  </si>
  <si>
    <t>CVCS-50-HFV3-W-B2-10</t>
  </si>
  <si>
    <t>CVCS-63-N-20</t>
  </si>
  <si>
    <t>CVCS-63-D3-20</t>
  </si>
  <si>
    <t>CVCS-50-D3-20</t>
  </si>
  <si>
    <t>CVCS-50-N-20</t>
  </si>
  <si>
    <t>CVCS-50-A-W-20</t>
  </si>
  <si>
    <t>CVCS-50-PC-20</t>
  </si>
  <si>
    <t>CVCS-63-A3-W-20</t>
  </si>
  <si>
    <t>CVCS-63-A-W-20</t>
  </si>
  <si>
    <t>CVCS-50-W13-20-A99</t>
  </si>
  <si>
    <t>CVCS-63-OD-20</t>
  </si>
  <si>
    <t>CVCS-50-A3-W-20</t>
  </si>
  <si>
    <t>CVCS-50-D3-20-X18-A18</t>
  </si>
  <si>
    <t>CVCS-50-W13-20</t>
  </si>
  <si>
    <t>SM4 20(15)57 80/40 10 S182</t>
  </si>
  <si>
    <t xml:space="preserve">EHST 3 BVF 40  </t>
  </si>
  <si>
    <t xml:space="preserve">EHST 3 FIF 40  </t>
  </si>
  <si>
    <t xml:space="preserve">EHST 3 FVE 40  </t>
  </si>
  <si>
    <t>EHST 3 FVF 40 OBSOLETE</t>
  </si>
  <si>
    <t>SM4-40(40)151-80/40-10-S205</t>
  </si>
  <si>
    <t>SM4-20(20)76-80/40-50-S220</t>
  </si>
  <si>
    <t>SM4-20(20)76-80/40-50-S221</t>
  </si>
  <si>
    <t>SM4-20(15)57-80/40-10</t>
  </si>
  <si>
    <t>SM4-10(5)19-20/200-10</t>
  </si>
  <si>
    <t>SM4-40(30)113 -80/40 -10</t>
  </si>
  <si>
    <t>SM4-20(10)38-80/40-10</t>
  </si>
  <si>
    <t>SM4-40(30)113-80/40 -10 -S15</t>
  </si>
  <si>
    <t>SM4-10(5)19-20/200-10-S20</t>
  </si>
  <si>
    <t>SM4-10(10)38-200/20-10</t>
  </si>
  <si>
    <t>SM4-20(5)19-200/15-10</t>
  </si>
  <si>
    <t>SM4-40(40)151-80/40-10</t>
  </si>
  <si>
    <t>SM4-20(20)76-80/40-10</t>
  </si>
  <si>
    <t>SM4-20(20)76-20/200-10</t>
  </si>
  <si>
    <t>SM4-40(40)151-20/200-10</t>
  </si>
  <si>
    <t>SM4-20(12.5)47-300/30-10</t>
  </si>
  <si>
    <t>EEA-PAM-591-A-10</t>
  </si>
  <si>
    <t>SM4-12(5)19-80/40-10</t>
  </si>
  <si>
    <t xml:space="preserve">SM4A 20 SH4 10  </t>
  </si>
  <si>
    <t xml:space="preserve">SM4A 20 A03 10  </t>
  </si>
  <si>
    <t xml:space="preserve">SM4A 40 A06 10  </t>
  </si>
  <si>
    <t xml:space="preserve">EHST 3 FIE 40  </t>
  </si>
  <si>
    <t>SM4-20(6.1)23-20/200-10-S35</t>
  </si>
  <si>
    <t>DGMC-2-PT-GW-10</t>
  </si>
  <si>
    <t>DGMX2-2-PP-GW-10</t>
  </si>
  <si>
    <t>DGMDC-2-X-TK-10</t>
  </si>
  <si>
    <t>DGMFN-2-Y-AW-BW-10</t>
  </si>
  <si>
    <t>DGMC-2-PT-FW-10</t>
  </si>
  <si>
    <t>DGMX2-2-PB-CW-10</t>
  </si>
  <si>
    <t>DGMX2-2-PP-AW-10</t>
  </si>
  <si>
    <t>DGMX2-2-PP-BW-10</t>
  </si>
  <si>
    <t>DGMX2-2-PP-CW-10</t>
  </si>
  <si>
    <t>DGMX2-2-PP-FW-10</t>
  </si>
  <si>
    <t>DGMDC-2-Y-PK-10</t>
  </si>
  <si>
    <t>DGMFN-2-X-AW-BW-10</t>
  </si>
  <si>
    <t>DGMC2-2-AB-BW-BA-BW-10</t>
  </si>
  <si>
    <t>DGMC2-2-AB-GW-BA-GW-10</t>
  </si>
  <si>
    <t>DGMX2-2-PP-BH-10</t>
  </si>
  <si>
    <t>DGMC2-2-AT-BW-BT-CW-10</t>
  </si>
  <si>
    <t>DGMC2-2-AT-FW-BT-FW-10</t>
  </si>
  <si>
    <t>DGMPC-2-ABK-11</t>
  </si>
  <si>
    <t>DGMPC-2-ABK-BAK-11</t>
  </si>
  <si>
    <t>DGMPC-2-ABM-BAM-11</t>
  </si>
  <si>
    <t>DGMPC-2-BAK-11</t>
  </si>
  <si>
    <t>DGMPC-2-ABP-BAP-11</t>
  </si>
  <si>
    <t>DGMFN-2-Y-BW-10</t>
  </si>
  <si>
    <t xml:space="preserve">DGMX 7 PP G H 20  </t>
  </si>
  <si>
    <t xml:space="preserve">DGMX 7 PP B H 20  </t>
  </si>
  <si>
    <t>DGMC-7-PT-BH-20</t>
  </si>
  <si>
    <t>DGMC-7-PT-GH-20</t>
  </si>
  <si>
    <t>DGMC-7-PT-FH-20</t>
  </si>
  <si>
    <t>DGMC-7-AT-BH-20</t>
  </si>
  <si>
    <t>DGMC-7-AT-FH-20</t>
  </si>
  <si>
    <t>DGMC-7-AT-GH-20</t>
  </si>
  <si>
    <t>DGMC-7-BT-FH-20</t>
  </si>
  <si>
    <t>DGMC-7-BT-GH-20</t>
  </si>
  <si>
    <t>DGMFN-7-Y-A2H-20</t>
  </si>
  <si>
    <t>DGMFN-7-Y-B2H-20</t>
  </si>
  <si>
    <t>DGMFN-7-Y-A2H-B2H-20</t>
  </si>
  <si>
    <t>DGMC-7-AT-BW-20</t>
  </si>
  <si>
    <t>DGMC-7-BT-GW-20</t>
  </si>
  <si>
    <t xml:space="preserve">DGMX 7 PP B W 20  </t>
  </si>
  <si>
    <t xml:space="preserve">DGMX 7 PP G W 20  </t>
  </si>
  <si>
    <t>DGMFN-7-X-A2H-20</t>
  </si>
  <si>
    <t>DGMFN-7-X-A2H-B2H-20</t>
  </si>
  <si>
    <t>DGMPC-7-ABK-21</t>
  </si>
  <si>
    <t>DGMPC-7-BAK-21</t>
  </si>
  <si>
    <t>DGMPC-7-ABK-BAK-21</t>
  </si>
  <si>
    <t>DGMPC-H8-ABK-BAK-10</t>
  </si>
  <si>
    <t>DGMPC-H8-ABL-BAL-10</t>
  </si>
  <si>
    <t>DGMFN-7-X-A2W-B2W-30</t>
  </si>
  <si>
    <t>DGMFN-7-Y-A2W-B2W-30</t>
  </si>
  <si>
    <t>F3-DGMFN-7-X-A2W-B2W-30</t>
  </si>
  <si>
    <t>F3-DGMFN-7-Y-A2W-B2W-30</t>
  </si>
  <si>
    <t>DGMFN-H8-X-A2W-B2W-10</t>
  </si>
  <si>
    <t>DGMFN-H8-Y-A2W-B2W-10</t>
  </si>
  <si>
    <t>DGMPC-7-ABK-30</t>
  </si>
  <si>
    <t>DGMPC-7-ABK-BAK-30</t>
  </si>
  <si>
    <t>DGMPC-7-BAK-30</t>
  </si>
  <si>
    <t>DGMPC-H8-ABK-10</t>
  </si>
  <si>
    <t>DGMPC-H8-BAK-10</t>
  </si>
  <si>
    <t xml:space="preserve">DGMXC-5-BB-BH-12  </t>
  </si>
  <si>
    <t xml:space="preserve">DGMXC-5-AA-BH-12  </t>
  </si>
  <si>
    <t>DG3VP-3-102A-VM-U-H-20</t>
  </si>
  <si>
    <t>DG3VP-3-103A-VM-U-H-20</t>
  </si>
  <si>
    <t>DG3VP-3-103A-VM-U-B-20</t>
  </si>
  <si>
    <t>CVUA-6-PDW-2-M-U-ED-20</t>
  </si>
  <si>
    <t>DG3VP-3-102A-VM-U-B-20</t>
  </si>
  <si>
    <t>DG3VP-3-102A-VM-U-D-20</t>
  </si>
  <si>
    <t>CVUA-6-PDN-3-M-U-H-20</t>
  </si>
  <si>
    <t>F3-CVUA-6-PDW-3-M-U-H-20</t>
  </si>
  <si>
    <t>CVUA-6-PDW-2-M-U-H-20</t>
  </si>
  <si>
    <t>F3-DG3VP-3-103A-VM-U-H-20</t>
  </si>
  <si>
    <t>CVUA-6-PDW-3-M-U-H-20</t>
  </si>
  <si>
    <t>DG3VP-3-103A-VM-U-D-20</t>
  </si>
  <si>
    <t>CVUA-6-PDW-2-M-U-B-20</t>
  </si>
  <si>
    <t>DG3VP-3-103A-VM-KUP5-D3-H-20</t>
  </si>
  <si>
    <t>CVUA-6-PDW-3-M-U-ED-20</t>
  </si>
  <si>
    <t>DG3VP-3-102A-VM-U-P-20</t>
  </si>
  <si>
    <t>CVUA-6-PDN-3-M-U-G-20</t>
  </si>
  <si>
    <t>F3-DG3VP-3-102A-VM-U-H-20</t>
  </si>
  <si>
    <t>DG3VP-3-102A-VM-U-S-20</t>
  </si>
  <si>
    <t>CVUA-6-PDN-2-M-U-D-20</t>
  </si>
  <si>
    <t>CVUA-6-PDW-2-M-U-D-20</t>
  </si>
  <si>
    <t>CVUA-6-PDW-3-M-U-B-20</t>
  </si>
  <si>
    <t>DG4VP-3-105C-VM-U-H-20</t>
  </si>
  <si>
    <t>DG3VP-3-103A-VM-U-G-20</t>
  </si>
  <si>
    <t>CVUA-6-PDN-2-M-U-H-20</t>
  </si>
  <si>
    <t>F3-DG3VP-3-103A-VM-U-D-20</t>
  </si>
  <si>
    <t>F3-CVUA-6-PDW-3-M-U-DP-20</t>
  </si>
  <si>
    <t>F3-DG3VP-3-103A-VM-U-DP-20</t>
  </si>
  <si>
    <t>F3-DG4VP-3-105C-VM-U-H-20</t>
  </si>
  <si>
    <t>CVUA-6-PDW-3-M-U-D-20</t>
  </si>
  <si>
    <t>F3 DG3VP 3 102A VM U B 20</t>
  </si>
  <si>
    <t>DG4VP-3-105C-VM-U-B-20</t>
  </si>
  <si>
    <t>DGMA-5-B-10</t>
  </si>
  <si>
    <t>DGMA-5-C1-10</t>
  </si>
  <si>
    <t>DGMA-5-C2-10</t>
  </si>
  <si>
    <t>DGMA-5-T1-10B</t>
  </si>
  <si>
    <t>DGMA-5-T2-10B</t>
  </si>
  <si>
    <t>DGAM 2 4 10 R ADAPTOR PLATE - DG4M4 - DG4V 2</t>
  </si>
  <si>
    <t xml:space="preserve">DGMS 3 2EX 10 R  </t>
  </si>
  <si>
    <t>DGAM 3 01 10R NG10 TO NG6 (METRIC)</t>
  </si>
  <si>
    <t xml:space="preserve">DGMS 3 2E 10 R  </t>
  </si>
  <si>
    <t xml:space="preserve">DGMS 3 3E 10 R  </t>
  </si>
  <si>
    <t xml:space="preserve">DGMS 3 4E 10 R  </t>
  </si>
  <si>
    <t xml:space="preserve">DGMS 3 5E 10 R  </t>
  </si>
  <si>
    <t xml:space="preserve">DGMS 3 6E 10 R  </t>
  </si>
  <si>
    <t>DGMA-3-T1-10-B</t>
  </si>
  <si>
    <t>DGMA-3-T2-10B</t>
  </si>
  <si>
    <t>DGMA-3-B-10</t>
  </si>
  <si>
    <t>DGMA-3-C2-10</t>
  </si>
  <si>
    <t xml:space="preserve">CGVM 6 10 R  </t>
  </si>
  <si>
    <t xml:space="preserve">XCGVM 6 10 R  </t>
  </si>
  <si>
    <t>DGMA-3-0-10</t>
  </si>
  <si>
    <t xml:space="preserve">E RXGM 06 20 R  </t>
  </si>
  <si>
    <t xml:space="preserve">ECGM 06 10 R  </t>
  </si>
  <si>
    <t xml:space="preserve">E DGSM 01Y 10 R  </t>
  </si>
  <si>
    <t xml:space="preserve">DGAM 5 10R  </t>
  </si>
  <si>
    <t>DGVM 3 11R G3/8</t>
  </si>
  <si>
    <t xml:space="preserve">DGMS 2 1E 10 R  </t>
  </si>
  <si>
    <t>DGMA-2-C1-10</t>
  </si>
  <si>
    <t>DGMA-2-B-10</t>
  </si>
  <si>
    <t xml:space="preserve">E DGVM 7Y D 10 R  </t>
  </si>
  <si>
    <t xml:space="preserve">FCG-3-10-K-15  </t>
  </si>
  <si>
    <t xml:space="preserve">FCG-3-120-A-K-15  </t>
  </si>
  <si>
    <t xml:space="preserve">FCG-3-120-K-15  </t>
  </si>
  <si>
    <t xml:space="preserve">FCG-3-16-A-H-15  </t>
  </si>
  <si>
    <t xml:space="preserve">FCG-3-16-A-K-15  </t>
  </si>
  <si>
    <t xml:space="preserve">FCG-3-16-H-15  </t>
  </si>
  <si>
    <t xml:space="preserve">FCG-3-16-K-15  </t>
  </si>
  <si>
    <t xml:space="preserve">FCG-3-180-A-H-15  </t>
  </si>
  <si>
    <t xml:space="preserve">FCG-3-180-A-K-15  </t>
  </si>
  <si>
    <t xml:space="preserve">FCG-3-180-H-15  </t>
  </si>
  <si>
    <t xml:space="preserve">FCG-3-180-K-15  </t>
  </si>
  <si>
    <t xml:space="preserve">FCG-3-32-A-H-15  </t>
  </si>
  <si>
    <t xml:space="preserve">FCG-3-32-A-K-15  </t>
  </si>
  <si>
    <t xml:space="preserve">FCG-3-32-H-15  </t>
  </si>
  <si>
    <t xml:space="preserve">FCG-3-32-K-15  </t>
  </si>
  <si>
    <t xml:space="preserve">FCG-3-63-A-H-15  </t>
  </si>
  <si>
    <t xml:space="preserve">FCG-3-63-A-K-15  </t>
  </si>
  <si>
    <t xml:space="preserve">FCG-3-63-H-15  </t>
  </si>
  <si>
    <t xml:space="preserve">FCG-3-63-K-15  </t>
  </si>
  <si>
    <t xml:space="preserve">FG-3-10-H-15  </t>
  </si>
  <si>
    <t xml:space="preserve">FG-3-10-K-15  </t>
  </si>
  <si>
    <t xml:space="preserve">FG-3-120-H-15  </t>
  </si>
  <si>
    <t xml:space="preserve">FG-3-16-H-15  </t>
  </si>
  <si>
    <t xml:space="preserve">FG-3-16-K-15  </t>
  </si>
  <si>
    <t xml:space="preserve">FG-3-180-H-15  </t>
  </si>
  <si>
    <t xml:space="preserve">FG-3-180-K-15  </t>
  </si>
  <si>
    <t xml:space="preserve">FG-3-32-H-15  </t>
  </si>
  <si>
    <t xml:space="preserve">FG-3-32-K-15  </t>
  </si>
  <si>
    <t xml:space="preserve">FG-3-63-K-15  </t>
  </si>
  <si>
    <t xml:space="preserve">FCG-3-10-H-15  </t>
  </si>
  <si>
    <t xml:space="preserve">FG-3-120-K-15  </t>
  </si>
  <si>
    <t xml:space="preserve">FG-3-63-H-15  </t>
  </si>
  <si>
    <t xml:space="preserve">FCG-3-120-H-15  </t>
  </si>
  <si>
    <t xml:space="preserve">FCG-3-10-A-K-15  </t>
  </si>
  <si>
    <t xml:space="preserve">F3-FG-3-16-K-15  </t>
  </si>
  <si>
    <t xml:space="preserve">F3-CF-16-F-10  </t>
  </si>
  <si>
    <t xml:space="preserve">50V72A 1C 11 130  </t>
  </si>
  <si>
    <t xml:space="preserve">50V109A-1A11-132  </t>
  </si>
  <si>
    <t xml:space="preserve">VALVE  </t>
  </si>
  <si>
    <t xml:space="preserve">ENCAPSULATED COIL  </t>
  </si>
  <si>
    <t xml:space="preserve">VVPH0-16-S-RRM-30-C-H-10 </t>
  </si>
  <si>
    <t>VVPH0-16-S-RRM-30-CD1-H-10</t>
  </si>
  <si>
    <t>VVPH0-16-S-RRM-30-CR-H-10</t>
  </si>
  <si>
    <t>VVPH0-16-S-RRM-30-CVP-H-10</t>
  </si>
  <si>
    <t xml:space="preserve">VVPH1-20-S-RRM-30-C-H-10 </t>
  </si>
  <si>
    <t>VVPH1-20-S-RRM-30-CD1-H-10</t>
  </si>
  <si>
    <t>VVPH1-20-S-RRM-30-CD2-H-10</t>
  </si>
  <si>
    <t xml:space="preserve">VVPH1-25-S-RRM-30-C-H-10 </t>
  </si>
  <si>
    <t xml:space="preserve">VVPH1-32-S-RRM-30-C-H-10 </t>
  </si>
  <si>
    <t>VVPH1-32-S-RRM-30-CD1-H-10</t>
  </si>
  <si>
    <t xml:space="preserve">VVSL0-16-S-RRM-30-CDW-10 </t>
  </si>
  <si>
    <t xml:space="preserve">VVSL1-20-S-RRM-30-CAW-10 </t>
  </si>
  <si>
    <t xml:space="preserve">VVSL1-20-S-RRM-30-CCW-10 </t>
  </si>
  <si>
    <t xml:space="preserve">VVSL1-25-S-RRM-30-CCW-10 </t>
  </si>
  <si>
    <t xml:space="preserve">VVSL1-32-S-RRM-30-CCW-10 </t>
  </si>
  <si>
    <t xml:space="preserve">VVSL1-25-S-RRM-30-CAW-10 </t>
  </si>
  <si>
    <t>VVPH2-40-S-RFRM-30-C-H-10</t>
  </si>
  <si>
    <t>VVPH2-50-S-RFRM-30-C-H-10</t>
  </si>
  <si>
    <t>VVPH2-50-S-RFRM-30-CR-H-10</t>
  </si>
  <si>
    <t>VVPH2-63-S-RFRM-30-C-H-10</t>
  </si>
  <si>
    <t>VVSL2-40-S-RFRM-30-CAW-10</t>
  </si>
  <si>
    <t>VVSL2-40-S-RFRM-30-CCW-10</t>
  </si>
  <si>
    <t>VVSL2-50-S-RFRM-30-CCW-10</t>
  </si>
  <si>
    <t>ST307-55-B</t>
  </si>
  <si>
    <t>ST307-150-B</t>
  </si>
  <si>
    <t>ST307-350-B</t>
  </si>
  <si>
    <t>ST307-V2-55-B</t>
  </si>
  <si>
    <t>ST307-V2-150-B</t>
  </si>
  <si>
    <t>ST307-V2-350-B</t>
  </si>
  <si>
    <t>SG307-F-55</t>
  </si>
  <si>
    <t>SG307-F-150</t>
  </si>
  <si>
    <t>SG307-F-350</t>
  </si>
  <si>
    <t>SG307-F-V2-55</t>
  </si>
  <si>
    <t>SG307-F-V2-150</t>
  </si>
  <si>
    <t>SG307-F-V2-350</t>
  </si>
  <si>
    <t>ST307-SCH-V2-350-B</t>
  </si>
  <si>
    <t>ST307-150-S</t>
  </si>
  <si>
    <t>ST307-350-S</t>
  </si>
  <si>
    <t>ST307-V2-150-S</t>
  </si>
  <si>
    <t xml:space="preserve">SCREW  </t>
  </si>
  <si>
    <t xml:space="preserve">SCREW, HEX HEAD CAP  </t>
  </si>
  <si>
    <t xml:space="preserve">NUT  </t>
  </si>
  <si>
    <t xml:space="preserve">NUT (IN LIEU OF-OAX)  </t>
  </si>
  <si>
    <t xml:space="preserve">KEY  </t>
  </si>
  <si>
    <t xml:space="preserve">BEARING -0 SHAFT V230  </t>
  </si>
  <si>
    <t xml:space="preserve">BEARING, BALL, ANNULAR-R </t>
  </si>
  <si>
    <t>BEARING, BALL, ANNULAR-RADIAL</t>
  </si>
  <si>
    <t xml:space="preserve">SPRING - COMPRESSION  </t>
  </si>
  <si>
    <t xml:space="preserve">SPRING  </t>
  </si>
  <si>
    <t xml:space="preserve">SPRING HELICAL COMPRESS  </t>
  </si>
  <si>
    <t xml:space="preserve">VALVE-CHECK  </t>
  </si>
  <si>
    <t xml:space="preserve">KEY,SQUARE  </t>
  </si>
  <si>
    <t xml:space="preserve">SEAT  </t>
  </si>
  <si>
    <t xml:space="preserve">PLUG I/8 NPT  </t>
  </si>
  <si>
    <t xml:space="preserve">PLUG 3/8 NPT  </t>
  </si>
  <si>
    <t xml:space="preserve">BEARING,BALL ANNUL. LT45 </t>
  </si>
  <si>
    <t>SCREW,SOCKET HEAD CAP  UNPLATED (16147-312)</t>
  </si>
  <si>
    <t xml:space="preserve">BEARING,BALL.ANNUL. LT45 </t>
  </si>
  <si>
    <t xml:space="preserve">BEARING (36M)  </t>
  </si>
  <si>
    <t xml:space="preserve">PIN, STRAIGHT DOWEL UNHA </t>
  </si>
  <si>
    <t>FACE SEALS</t>
  </si>
  <si>
    <t>COIL 110VAC DIN UA (V) DG4V-3S A</t>
  </si>
  <si>
    <t>COIL 110/120VAC DIN UB (V)</t>
  </si>
  <si>
    <t>COIL UC 220VAC DIN (V) DG4V-3S C</t>
  </si>
  <si>
    <t>COIL UD 240 VAC DIN (V) DG4V-3S (D)</t>
  </si>
  <si>
    <t>COIL B 120VAC (V)</t>
  </si>
  <si>
    <t>COIL 220/240 VAC D (V) (DG4V3-60, DG5V-7, DG5S-H8)</t>
  </si>
  <si>
    <t>SEAL KIT PVH57</t>
  </si>
  <si>
    <t>SEAL KIT - PVH74-10/11</t>
  </si>
  <si>
    <t>SEALING KIT PVH98 DUAL SEAL</t>
  </si>
  <si>
    <t>SEAL KIT PVH</t>
  </si>
  <si>
    <t>SEAL KIT FOR DG3V 3 60</t>
  </si>
  <si>
    <t>COIL DS 28VDC DIN V</t>
  </si>
  <si>
    <t>S/A ENCAPSULATED COIL (I</t>
  </si>
  <si>
    <t>COIL UNN 24VAC 50</t>
  </si>
  <si>
    <t>SUB ASSY ENCAPSULATED COIL</t>
  </si>
  <si>
    <t>COIL N 24VAC 50/60 DIN</t>
  </si>
  <si>
    <t>COIL T 100VAC 50/60 DINA</t>
  </si>
  <si>
    <t>COIL UOV 200VAC 50/60</t>
  </si>
  <si>
    <t>COIL N 24VAC 50/60</t>
  </si>
  <si>
    <t>COIL 24VDC/DIN</t>
  </si>
  <si>
    <t>SUB ASSY ENCAPSULATED COIL (KU</t>
  </si>
  <si>
    <t>SUB-ASSY D.C. WEATHERPROOF OVER RIDE</t>
  </si>
  <si>
    <t>COIL UGH 12VDC</t>
  </si>
  <si>
    <t>COIL UHH 24VDC</t>
  </si>
  <si>
    <t>COIL UPH 110VDC</t>
  </si>
  <si>
    <t>ENCAPSULATED COIL  'G' (ISO 4400)</t>
  </si>
  <si>
    <t>ENCAPSULATED COIL (ISO 4400)</t>
  </si>
  <si>
    <t>ENCAPSULATED COIL PLUG-IN DC 'H'</t>
  </si>
  <si>
    <t>ENCAPSULATED COIL 'GP' 12V DC</t>
  </si>
  <si>
    <t>ENCAPSULATED COIL 24V K*G4V3</t>
  </si>
  <si>
    <t>ENCAPSULATED COIL 24V DC - K*G4V-3  (ISO 4400)</t>
  </si>
  <si>
    <t>COIL KUP1D1 (DG4V3)</t>
  </si>
  <si>
    <t>COIL KUP3 24VDC F/L (DG4V3)</t>
  </si>
  <si>
    <t>SOLENOID S/A</t>
  </si>
  <si>
    <t>COIL SH DIN</t>
  </si>
  <si>
    <t>COIL 220V DC</t>
  </si>
  <si>
    <t>COIL UDN 220VAC 60</t>
  </si>
  <si>
    <t>SUB ASSEMBLY ENCAPSULATED COIL 24V DC (H)</t>
  </si>
  <si>
    <t>COIL ENCAPSULATED (BS) 120V 60 HZ</t>
  </si>
  <si>
    <t>COIL G 12V DC 30W</t>
  </si>
  <si>
    <t>24V DC KUP4D2 ENC. COIL</t>
  </si>
  <si>
    <t>COIL 12V DC G</t>
  </si>
  <si>
    <t>COIL 196V DC EJH</t>
  </si>
  <si>
    <t>S/A ENCAPSULATED COIL 196V DC</t>
  </si>
  <si>
    <t>ENCAPSULATED COIL  12V DC DEUTSCH CNNECTOR</t>
  </si>
  <si>
    <t>SUB ASSY ENCAPS. COIL KUP4D1 ( DS)</t>
  </si>
  <si>
    <t>COMP KIT - PVH</t>
  </si>
  <si>
    <t>PRESSURE COMPENSATOR KIT</t>
  </si>
  <si>
    <t>COIL UG 12V DC</t>
  </si>
  <si>
    <t>COIL UH 24V DC</t>
  </si>
  <si>
    <t>SEAL KIT 25VQTB***-20</t>
  </si>
  <si>
    <t>SEAL KIT 35VQTB***-20</t>
  </si>
  <si>
    <t>SEAL KIT 45VQTA-20</t>
  </si>
  <si>
    <t>SEAL KIT 45VQTC - 20</t>
  </si>
  <si>
    <t>COUPLING KIT **VTA</t>
  </si>
  <si>
    <t>COUPLING KIT FOR 25VTBP</t>
  </si>
  <si>
    <t>COUPLING KIT FOR 35VTB &amp;45VTB</t>
  </si>
  <si>
    <t>COUPLING KIT FOR 35VTC</t>
  </si>
  <si>
    <t>COUPLING KIT FOR 45VTC</t>
  </si>
  <si>
    <t>ADAPTER KIT **VTB TO PVE19</t>
  </si>
  <si>
    <t>SEAL KIT 45VQTC-21</t>
  </si>
  <si>
    <t>SEAL KIT V20F</t>
  </si>
  <si>
    <t>SEAL KIT FOR K(A)CG-3-U/U1 BUILDS</t>
  </si>
  <si>
    <t>SEAL KIT FOR KHDG5V 5</t>
  </si>
  <si>
    <t>SEAL KIT FOR KHDG5V-7</t>
  </si>
  <si>
    <t>SEAL KIT FOR KHDG5V 8</t>
  </si>
  <si>
    <t>SEAL KIT FOR K(A)*G4V-3-60</t>
  </si>
  <si>
    <t>ORIFICE KIT AND TOOL</t>
  </si>
  <si>
    <t>COIL G 12V DC TEFL V</t>
  </si>
  <si>
    <t>COIL 24V DC TEFL V</t>
  </si>
  <si>
    <t>CARTRIDGE INSERT</t>
  </si>
  <si>
    <t>ADJUSTMENT HEAD FH</t>
  </si>
  <si>
    <t>ENCAPSULATED COIL USH (220V DC ISO 4400)</t>
  </si>
  <si>
    <t>CONNECTOR</t>
  </si>
  <si>
    <t>SHAFT SPACER KIT PVH131</t>
  </si>
  <si>
    <t>SEAL KIT - PVQ 40/45</t>
  </si>
  <si>
    <t>SEAL KIT V2020 30 DESIGN</t>
  </si>
  <si>
    <t>FB C4 10 FOOTBRACKET KIT</t>
  </si>
  <si>
    <t>SEAL KIT FOR DG21V-3-60</t>
  </si>
  <si>
    <t>SEAL KIT K(A/B)DG5V 7</t>
  </si>
  <si>
    <t>SEAL KIT FOR CVGPC * 10</t>
  </si>
  <si>
    <t>SEAL KIT DG4V3 (INTERFACE)</t>
  </si>
  <si>
    <t>END CAP</t>
  </si>
  <si>
    <t>COIL 12V DC TEFL V</t>
  </si>
  <si>
    <t>SEAL KIT 2525V-(22)</t>
  </si>
  <si>
    <t>TORQUE CONTROL S/A - PVH</t>
  </si>
  <si>
    <t>KIT PVH INDUSTRIAL CONTROL METRIC THREADS</t>
  </si>
  <si>
    <t>COMP KIT - PVH131</t>
  </si>
  <si>
    <t>SEAL KIT - EPV16-12/13</t>
  </si>
  <si>
    <t>KIT - COIL &amp; FRAME, 12 VC</t>
  </si>
  <si>
    <t>KIT - COIL &amp; FRAME, 12 V</t>
  </si>
  <si>
    <t>ENCAPSULATED COIL &amp; FRAME (DEUTSCH  12V) 066</t>
  </si>
  <si>
    <t>ENCAP COIL &amp; FRAME S/A</t>
  </si>
  <si>
    <t>SA-MECHANICAL SHIFT VALV</t>
  </si>
  <si>
    <t>SEAL KIT FOR DG4V 2 10</t>
  </si>
  <si>
    <t>SEAL KIT FOR DG5V5</t>
  </si>
  <si>
    <t>SEAL KIT FOR CVCS-50-ZD(A)3-10</t>
  </si>
  <si>
    <t>SEAL KIT FOR F3-CVCS-40-ZD(A)3-10</t>
  </si>
  <si>
    <t>SEAL KIT FOR CVCS-**-ZD(A)3-10</t>
  </si>
  <si>
    <t>SEAL KIT FOR CVI-50-ZD(N)105-*-10</t>
  </si>
  <si>
    <t>SEAL KIT FOR CVI-40-ZD(N)105-*-10</t>
  </si>
  <si>
    <t>SEAL KIT FOR F3-CVI-40-ZD(N)105-*-10</t>
  </si>
  <si>
    <t>SEAL KIT FOR CVI-32-ZD(N)105</t>
  </si>
  <si>
    <t>SEAL KIT FOR CVI-25-ZD(N)105</t>
  </si>
  <si>
    <t>SEAL KIT FOR CVI-63-ZD(N)105-*-10</t>
  </si>
  <si>
    <t>SEAL KIT FOR DGMPC/DGMDC</t>
  </si>
  <si>
    <t>SEAL KIT FOR CVU 32 SWD3 B29 10</t>
  </si>
  <si>
    <t>SEAL KIT FOR CVU 16*B29*10/31</t>
  </si>
  <si>
    <t>SEAL KIT FOR F3-CVU-16-*-B29-*-10/31</t>
  </si>
  <si>
    <t>SEAL KIT FOR CVU-25-*-10/31</t>
  </si>
  <si>
    <t>SEAL KIT FOR F3-CVU-25-*-10/31</t>
  </si>
  <si>
    <t>SEAL KIT FOR COVER CVCS-16</t>
  </si>
  <si>
    <t>SEAL KIT FOR COVER CVU-32-*SWD*/EFP1</t>
  </si>
  <si>
    <t>SEAL KIT FOR COVER F3-CVU-32-*SWD*/EFP1</t>
  </si>
  <si>
    <t>SEAL KIT FOR F3-CVI-16-40</t>
  </si>
  <si>
    <t>SEAL KIT FOR F3-CVI-25-40</t>
  </si>
  <si>
    <t>SEAL KIT FOR CVCS-16-B29</t>
  </si>
  <si>
    <t>SEAL KIT FOR CVCS-25-B29 STANDARD COVER</t>
  </si>
  <si>
    <t>SEAL KIT CVU 50 SWD3 10L</t>
  </si>
  <si>
    <t>SEAL KIT FOR CVC-63-SWD3</t>
  </si>
  <si>
    <t>SEAL KIT FOR F3-CVU-63-SWD3-10</t>
  </si>
  <si>
    <t>SEAL KIT FOR CVU-40-****-10</t>
  </si>
  <si>
    <t>SEAL KIT FOR CVCS-40-B29- STANDARD COVER</t>
  </si>
  <si>
    <t>SEAL KIT FOR F3-CVCS-40-B29-STANDARD COVER</t>
  </si>
  <si>
    <t>SEAL KIT 32 COVER</t>
  </si>
  <si>
    <t>SEAL KIT 4545VPF SSS, BUNA-N</t>
  </si>
  <si>
    <t>COMP KIT - PVM0570000000200B2824000000A</t>
  </si>
  <si>
    <t xml:space="preserve">SEAL KIT CPF*S  10  </t>
  </si>
  <si>
    <t>COMPENSATOR KIT PVH CMV</t>
  </si>
  <si>
    <t xml:space="preserve">COIL AC FLYING LEAD  </t>
  </si>
  <si>
    <t xml:space="preserve">COIL &amp; FRAME  </t>
  </si>
  <si>
    <t>ENCAPSULATED COIL KIT 12VDC FLYING LEADS</t>
  </si>
  <si>
    <t xml:space="preserve">REPAIR KIT  </t>
  </si>
  <si>
    <t xml:space="preserve">COIL 24V DC WEATHER  </t>
  </si>
  <si>
    <t xml:space="preserve">32 SIZE COVER SEAL KIT  </t>
  </si>
  <si>
    <t xml:space="preserve">SEAL KIT FOR CVCS 50 B29 </t>
  </si>
  <si>
    <t xml:space="preserve">SEAL KIT FOR CVCS 63 B29 </t>
  </si>
  <si>
    <t>SUB ASSEMBLY ENCAPSULATED COIL (JUNIOR TIMER CO</t>
  </si>
  <si>
    <t xml:space="preserve">12V (G) KUP4 ENCAP.COIL  </t>
  </si>
  <si>
    <t>SUB ASSEMLBY ENCAPSULATED COIL 24V DC (H)</t>
  </si>
  <si>
    <t>SUB ASSY ENCAPS COIL (KUD1)</t>
  </si>
  <si>
    <t xml:space="preserve">TORQUE CONTROL ASSY  </t>
  </si>
  <si>
    <t xml:space="preserve">SPRING CENTERING  </t>
  </si>
  <si>
    <t xml:space="preserve">WASHER CENTERING  </t>
  </si>
  <si>
    <t xml:space="preserve">SPRING 75 PSI CK VALVE  </t>
  </si>
  <si>
    <t xml:space="preserve">COIL B 110/120V AC CSA  </t>
  </si>
  <si>
    <t xml:space="preserve">ENCAPSULATED COIL (D)  </t>
  </si>
  <si>
    <t xml:space="preserve">COIL H 24V DC CSA  </t>
  </si>
  <si>
    <t xml:space="preserve">SPOOL-TYPE 6  </t>
  </si>
  <si>
    <t>END COVER (MACHINING) STD</t>
  </si>
  <si>
    <t>YOKE, BUMPER PADS, CONSTRUCTIO</t>
  </si>
  <si>
    <t>CONTROL ROD, PISTON WITHHARDW</t>
  </si>
  <si>
    <t>F3 STROKE ADJUSTMENT KIT FOR DG3V-8 10</t>
  </si>
  <si>
    <t>SEAL KIT F3 FOR DG3/5V-8 10 DESIGN</t>
  </si>
  <si>
    <t>SEAL KIT DG5V 10 MAINSTAGE</t>
  </si>
  <si>
    <t>SEAL KIT DG3/5V-8 10 DESF3 02-329323</t>
  </si>
  <si>
    <t xml:space="preserve">AC DIN ENCAP COIL (EP) 6 </t>
  </si>
  <si>
    <t xml:space="preserve">ENCAP COIL DC DIN (HM) 6 </t>
  </si>
  <si>
    <t xml:space="preserve">SEAL KIT FOR KBFD/TG4V 3 </t>
  </si>
  <si>
    <t xml:space="preserve">SEAL KIT FOR KBFDG4V-5  </t>
  </si>
  <si>
    <t>SEAL KIT FOR CVI 40 10 EN106</t>
  </si>
  <si>
    <t xml:space="preserve">BEARING S/A PVM74/98/620 </t>
  </si>
  <si>
    <t xml:space="preserve">SHAFT SEAL KIT PVM 74/98 </t>
  </si>
  <si>
    <t xml:space="preserve">SEAL KIT 25VMQ (SNGL)  </t>
  </si>
  <si>
    <t xml:space="preserve">S KIT 25VMQ, SSS, VITON  </t>
  </si>
  <si>
    <t xml:space="preserve">SEAL KIT 2525VMQ (SNGL)  </t>
  </si>
  <si>
    <t xml:space="preserve">SEAL KIT 35VMQ (SNGL)  </t>
  </si>
  <si>
    <t xml:space="preserve">SEAL KIT 45VMQ (SNGL)  </t>
  </si>
  <si>
    <t xml:space="preserve">SEAL KIT FOR VMQ24525  </t>
  </si>
  <si>
    <t>SEAL KIT 4535VMQ, SSS, BUNA-N</t>
  </si>
  <si>
    <t>SEAL KIT 25VMQT DSS BUNA-N</t>
  </si>
  <si>
    <t>SADDLE BEARING AND YOKE PVH57</t>
  </si>
  <si>
    <t>KIT SADDLE BEARINGS AND YOKE PVH74/81-11</t>
  </si>
  <si>
    <t>SADDLE BEARING AND YOKE PVH98</t>
  </si>
  <si>
    <t>SADDLE BEARING AND YOKE PVH13</t>
  </si>
  <si>
    <t xml:space="preserve">BEARING S/A  </t>
  </si>
  <si>
    <t xml:space="preserve">COIL B BLUE DG4V4-01  </t>
  </si>
  <si>
    <t>COIL H BLUE    DG4V4-01 VALVES 'H' PLUG IN COIL</t>
  </si>
  <si>
    <t>COIL HL 24VDC W/TRANSZORB</t>
  </si>
  <si>
    <t>ENCAPSULATED COIL (12VDC)</t>
  </si>
  <si>
    <t xml:space="preserve">COIL 12V DC KUD2 EN490  </t>
  </si>
  <si>
    <t xml:space="preserve">Saddle Bearing S/A PVM18 </t>
  </si>
  <si>
    <t>KIT PRESS COMP PVH45*S/F*40*C28V11B</t>
  </si>
  <si>
    <t>CONTROL KIT PVH45*S/F*4 0*C28V</t>
  </si>
  <si>
    <t>COMPENSATOR KIT   PVM0450000000200B2824000000A</t>
  </si>
  <si>
    <t>COMPENSATOR KIT   PVM0450000000200C2824000000A</t>
  </si>
  <si>
    <t>COMP KIT PVM0450000000200A2800000000A</t>
  </si>
  <si>
    <t xml:space="preserve">KIT SEALS PVM45  </t>
  </si>
  <si>
    <t xml:space="preserve">KIT SEAL PVM131/141  </t>
  </si>
  <si>
    <t>KIT YOKE AND SADDLE BEARING PV</t>
  </si>
  <si>
    <t>KIT SHAFT BEARING PVH131* 40</t>
  </si>
  <si>
    <t>KIT, SINGLE SHAFT SEAL - PVM131/141</t>
  </si>
  <si>
    <t xml:space="preserve">KIT SEALS PVM57  </t>
  </si>
  <si>
    <t>KIT-YOKE AND SADDLE BEARING PVM 57/63</t>
  </si>
  <si>
    <t>KIT SHAFT BEARING PVH57*40</t>
  </si>
  <si>
    <t xml:space="preserve">Compensator Kit - PVH  </t>
  </si>
  <si>
    <t>COMP KIT PVM1310000000200C2820000000A</t>
  </si>
  <si>
    <t>SEAL KIT 453525VMQ, SSS BUNA-N</t>
  </si>
  <si>
    <t xml:space="preserve">SEAL KIT PVM018  </t>
  </si>
  <si>
    <t xml:space="preserve">SHAFT SEAL KIT PVM18/20  </t>
  </si>
  <si>
    <t>COMPENSATOR PV* C19VP11 B 13</t>
  </si>
  <si>
    <t>COMPENSATOR - PV*-C21VP11B-13</t>
  </si>
  <si>
    <t>COMPENSATOR PV* C21VP11 P 13</t>
  </si>
  <si>
    <t xml:space="preserve">Compensator Kit  </t>
  </si>
  <si>
    <t xml:space="preserve">PVE/Q SEAL KIT  </t>
  </si>
  <si>
    <t xml:space="preserve">COMPENSATOR - PVE-CG-30  </t>
  </si>
  <si>
    <t xml:space="preserve">COMPENSATOR - PVE-C21-12 </t>
  </si>
  <si>
    <t>COMPENSATOR PL/LS KIT C21V11P</t>
  </si>
  <si>
    <t>COMPENSATOR KIT PVB/Q 3000</t>
  </si>
  <si>
    <t>COMPENSATOR KIT PVB/Q C 2700</t>
  </si>
  <si>
    <t xml:space="preserve">REMOTE CONTROL COMP KIT  </t>
  </si>
  <si>
    <t xml:space="preserve">COMPENSATOR - PVQ-CMG-30 </t>
  </si>
  <si>
    <t>F3 Seal Kit - PVB5/6, PVQ10/13</t>
  </si>
  <si>
    <t xml:space="preserve">ORIFICE KIT FOR DG4V 5  </t>
  </si>
  <si>
    <t>H DG4V 3S 60 DC CONVER SION KIT</t>
  </si>
  <si>
    <t xml:space="preserve">SEAL KIT FOR KBHDG5V-5  </t>
  </si>
  <si>
    <t xml:space="preserve">SEAL KIT FOR KBHDG5V-7  </t>
  </si>
  <si>
    <t xml:space="preserve">SEAL KIT FOR KBDG4V-3  </t>
  </si>
  <si>
    <t xml:space="preserve">COMP KIT CK-VVP3-C-10  </t>
  </si>
  <si>
    <t xml:space="preserve">COMP KIT CK-VVP2/3-CR-10 </t>
  </si>
  <si>
    <t xml:space="preserve">SEAL KIT FOR  KBCG-3  </t>
  </si>
  <si>
    <t>VVS2/VVP2-32 OVERHAUL KIT</t>
  </si>
  <si>
    <t>VVS3/VVP3-100 OVERHAUL KIT</t>
  </si>
  <si>
    <t>KIT RELIEF ADJUSTABLE S EAL KI</t>
  </si>
  <si>
    <t>SEAL KIT FOR SIZE 16 EN106L</t>
  </si>
  <si>
    <t>SEAL KIT FOR EN106 SIZE 25 CVI AND COVER SPIGOT</t>
  </si>
  <si>
    <t>SEAL KIT FOR EN106 SIZE 40</t>
  </si>
  <si>
    <t>SEAL KIT FOR VVS0 (BUNA N)</t>
  </si>
  <si>
    <t>SEAL KIT FOR VV*1 (BUNA N)</t>
  </si>
  <si>
    <t>SEAL KIT FOR VV*2 RF/VV*2 PX</t>
  </si>
  <si>
    <t xml:space="preserve">AK-VVS(L)/VVP(H)1-1-R  </t>
  </si>
  <si>
    <t xml:space="preserve">AK-VVS(L)/VVP(H)1-SAE-A  </t>
  </si>
  <si>
    <t xml:space="preserve">SEAL KIT 60 X 262332  </t>
  </si>
  <si>
    <t>KIT - COIL NUT CONTAINS 998330/508113</t>
  </si>
  <si>
    <t xml:space="preserve">SERVICE KIT - SEAL  </t>
  </si>
  <si>
    <t xml:space="preserve">COIL KUP4D2  </t>
  </si>
  <si>
    <t xml:space="preserve">24V(HA) KUP4 E/C K***EN7 </t>
  </si>
  <si>
    <t xml:space="preserve">24V DC KUP5D2 ENC. COIL  </t>
  </si>
  <si>
    <t>S/A ENCAPSULATED COIL (KUP5D2)</t>
  </si>
  <si>
    <t>S/A ENCAPSULATED COIL (KUP5) 12V DC</t>
  </si>
  <si>
    <t>S/A ENCAPSULATED COIL (KUP5) 24V DC</t>
  </si>
  <si>
    <t>S/A ENCAPSULATED COIL PROP. 12V DC (DEUTSCH CONN</t>
  </si>
  <si>
    <t>SUB ASSY ENCAPSULATED COIL 28V EN154</t>
  </si>
  <si>
    <t>SUB ASSY BLACK ENCAPSULATED COIL 28V</t>
  </si>
  <si>
    <t>SOLENOID 24V DC  (KUP5D-H7)      USE COIL 999962</t>
  </si>
  <si>
    <t>SEAL KIT XPV16*S21 AND *S22</t>
  </si>
  <si>
    <t>KIT - SEAL DG4V 3(S)  60 EN409/492</t>
  </si>
  <si>
    <t>ENCAPSULATED COIL &amp; FRAME</t>
  </si>
  <si>
    <t xml:space="preserve">COIL 24VDC  </t>
  </si>
  <si>
    <t>COIL DC - M12 -4-PIN CONNECTOR &amp; TRANSZORB</t>
  </si>
  <si>
    <t>TWIST &amp; LOCK KIT SINGLE SOLENOID DG4V-3</t>
  </si>
  <si>
    <t>TWIST AND LOCK MANUAL OVERRIDE KIT DG4V-5</t>
  </si>
  <si>
    <t>SEAL KIT FOR INTERFACE CG2V/CG5V/XG2V-10</t>
  </si>
  <si>
    <t xml:space="preserve">SEAL KIT FOR CVGC-3  </t>
  </si>
  <si>
    <t>SEAL KIT FOR CVI-16-50-EN106</t>
  </si>
  <si>
    <t>SEAL KIT FOR CVI-25-50-EN106</t>
  </si>
  <si>
    <t>SEAL KIT FOR CVI-32-50-EN106</t>
  </si>
  <si>
    <t>SEAL KIT FOR CVI-40-50-EN106</t>
  </si>
  <si>
    <t xml:space="preserve">INTERFACE SEAL KIT DG4V5 </t>
  </si>
  <si>
    <t>SPRING - HELICAL COMPRESSION</t>
  </si>
  <si>
    <t xml:space="preserve">SPRING - L (SIZE - 25)  </t>
  </si>
  <si>
    <t xml:space="preserve">SPRING - M (SIZE - 25)  </t>
  </si>
  <si>
    <t xml:space="preserve">SPRING - H (SIZE - 25)  </t>
  </si>
  <si>
    <t xml:space="preserve">SPRING - L (SIZE - 32)  </t>
  </si>
  <si>
    <t xml:space="preserve">SPRING - M (SIZE - 32)  </t>
  </si>
  <si>
    <t xml:space="preserve">SPRING - H (SIZE - 32)  </t>
  </si>
  <si>
    <t xml:space="preserve">SPRING - L NG-40  </t>
  </si>
  <si>
    <t xml:space="preserve">SPRING - M NG-40  </t>
  </si>
  <si>
    <t xml:space="preserve">SPRING - H NG-40  </t>
  </si>
  <si>
    <t xml:space="preserve">SPRING - L (SIZE - 50)  </t>
  </si>
  <si>
    <t xml:space="preserve">SPRING - M (SIZE - 50)  </t>
  </si>
  <si>
    <t xml:space="preserve">SPRING - H (SIZE - 50)  </t>
  </si>
  <si>
    <t>SEAL KIT (STD)  INSERT ASSEMBLY - NG50</t>
  </si>
  <si>
    <t>SEAL KIT (F3)  INSERT ASSEMBLY - NG50</t>
  </si>
  <si>
    <t>SEAL KIT (STD)  INSERT ASSEMBLY - NG16</t>
  </si>
  <si>
    <t>SEAL KIT (STD)  INSERT ASSEMBLY - NG25</t>
  </si>
  <si>
    <t>SEAL KIT (F3)  INSERT ASSEMBLY - NG25</t>
  </si>
  <si>
    <t>SEAL KIT (STD)  INSERT ASSEMBLY - NG32</t>
  </si>
  <si>
    <t>SEAL KIT (F3)  INSERT ASSEMBLY - NG32</t>
  </si>
  <si>
    <t>SEAL KIT (STD)  INSERT ASSEMBLY - NG40</t>
  </si>
  <si>
    <t>SEAL KIT (STD)  INSERT ASSEMBLY - NG63</t>
  </si>
  <si>
    <t>COMPLETE SEALKIT-NG16 COVER F3</t>
  </si>
  <si>
    <t>COMPLETE SEALKIT-NG25 COVER F3</t>
  </si>
  <si>
    <t>COMPLETE SEALKIT-NG32 COVER F3</t>
  </si>
  <si>
    <t>COMPLETE SEALKIT-NG40 COVER F3</t>
  </si>
  <si>
    <t>INTERFACE SEAL KIT-NG16 COVER</t>
  </si>
  <si>
    <t>COMPLETE SEALKIT-NG16 COVER</t>
  </si>
  <si>
    <t>INTERFACE SEAL KIT-NG25 COVER</t>
  </si>
  <si>
    <t>COMPLETE SEALKIT-NG25 COVER</t>
  </si>
  <si>
    <t>COMPLETE SEALKIT-NG32 COVER</t>
  </si>
  <si>
    <t>INTERFACE SEAL KIT-NG40 COVER</t>
  </si>
  <si>
    <t>COMPLETE SEALKIT-NG40 COVER</t>
  </si>
  <si>
    <t>COMPLETE SEALKIT-NG50 COVER</t>
  </si>
  <si>
    <t>COMPENSATOR KIT - PVQ*C024V11B-13</t>
  </si>
  <si>
    <t xml:space="preserve">PLUG  </t>
  </si>
  <si>
    <t xml:space="preserve">Bearing (Dwng 39465)  </t>
  </si>
  <si>
    <t xml:space="preserve">PISTON  </t>
  </si>
  <si>
    <t xml:space="preserve">VENTILKEGEL  </t>
  </si>
  <si>
    <t>Snap Ring (Dwng 190301)(Rplcd by 96098-078, PVH/</t>
  </si>
  <si>
    <t xml:space="preserve">RETAINING RING, INTERNAL </t>
  </si>
  <si>
    <t xml:space="preserve">RING, RETAINING  </t>
  </si>
  <si>
    <t xml:space="preserve">O-RING   (VITON)  </t>
  </si>
  <si>
    <t xml:space="preserve">O-RING  </t>
  </si>
  <si>
    <t xml:space="preserve">PLUG HEX. SOCKET-PRESSU  </t>
  </si>
  <si>
    <t>PUMP DRIVE SHAFT S/A 54/64 S3</t>
  </si>
  <si>
    <t xml:space="preserve">SCREW SOCKET FLAT HEAD  </t>
  </si>
  <si>
    <t xml:space="preserve">Retaining Ring, Internal </t>
  </si>
  <si>
    <t xml:space="preserve">O-Ring &amp; Plug S/A, M22  </t>
  </si>
  <si>
    <t xml:space="preserve">COMPENSATOR S/A  </t>
  </si>
  <si>
    <t xml:space="preserve">RET RING  </t>
  </si>
  <si>
    <t>RING, RETAINING (EXTERNAL)</t>
  </si>
  <si>
    <t xml:space="preserve">Snap Ring (Dwng 190301)  </t>
  </si>
  <si>
    <t xml:space="preserve">SPRING-COMPRESSION  </t>
  </si>
  <si>
    <t xml:space="preserve">KNOB  </t>
  </si>
  <si>
    <t xml:space="preserve">WASHER, SPRING CENTERING </t>
  </si>
  <si>
    <t>NEOPRENE PLUG R*06 (F3=271344)</t>
  </si>
  <si>
    <t xml:space="preserve">RETAINER  </t>
  </si>
  <si>
    <t xml:space="preserve">Snap Ring (Dwng 190272)  </t>
  </si>
  <si>
    <t xml:space="preserve">RING-SNAP  </t>
  </si>
  <si>
    <t xml:space="preserve">RING-RETAINING (INTERNAL </t>
  </si>
  <si>
    <t xml:space="preserve">Roll Pin  </t>
  </si>
  <si>
    <t xml:space="preserve">S RG(H0162STPAS)  </t>
  </si>
  <si>
    <t xml:space="preserve">Dowel Pin (Dwng 202954)  </t>
  </si>
  <si>
    <t xml:space="preserve">SNAP RING  </t>
  </si>
  <si>
    <t xml:space="preserve">LOCK  </t>
  </si>
  <si>
    <t xml:space="preserve">Washer  </t>
  </si>
  <si>
    <t xml:space="preserve">SOLENOID  </t>
  </si>
  <si>
    <t xml:space="preserve">WIPER  </t>
  </si>
  <si>
    <t xml:space="preserve">SCREW, HEX. CAP(FINISHED </t>
  </si>
  <si>
    <t xml:space="preserve">SHAFT - THROTTLE CONTROL </t>
  </si>
  <si>
    <t xml:space="preserve">DIAL  </t>
  </si>
  <si>
    <t xml:space="preserve">PLUG-RESTRICTION  </t>
  </si>
  <si>
    <t xml:space="preserve">SEAT-BALL  </t>
  </si>
  <si>
    <t>FILTER STD IN VTM RESERVOIRS</t>
  </si>
  <si>
    <t xml:space="preserve">KEY NO1 SHAFT 50V/50M  </t>
  </si>
  <si>
    <t xml:space="preserve">ROD  </t>
  </si>
  <si>
    <t xml:space="preserve">THROTTLE  </t>
  </si>
  <si>
    <t xml:space="preserve">WIPER FELT  </t>
  </si>
  <si>
    <t xml:space="preserve">SEAL  </t>
  </si>
  <si>
    <t xml:space="preserve">SHAFT 50V NO1  </t>
  </si>
  <si>
    <t>Swashplate - PVB 5/6 (make from 231557-998)</t>
  </si>
  <si>
    <t>BEARING 26V/26M = HEAVY DUTY</t>
  </si>
  <si>
    <t xml:space="preserve">CON/VLE.SA.(USA SOURCE)  </t>
  </si>
  <si>
    <t>S/A CONTROL VALVE 2000PSI</t>
  </si>
  <si>
    <t>S/A RELIEF VALVE (500 PSI)</t>
  </si>
  <si>
    <t xml:space="preserve">SA CONTROL VALVE  </t>
  </si>
  <si>
    <t xml:space="preserve">SHAFT NO. 1  </t>
  </si>
  <si>
    <t xml:space="preserve">SHAFT-DRIVE NO. 1  </t>
  </si>
  <si>
    <t xml:space="preserve">SHAFT-DRIVE NO. 11  </t>
  </si>
  <si>
    <t xml:space="preserve">SEAT-SPRING COMPENSATOR  </t>
  </si>
  <si>
    <t xml:space="preserve">SPRING DG 4S4 01*  </t>
  </si>
  <si>
    <t xml:space="preserve">PLUG - ORIFICE  </t>
  </si>
  <si>
    <t>KEY NO86 SHAFT 45V/4520V/4535V</t>
  </si>
  <si>
    <t xml:space="preserve">Piston rod  </t>
  </si>
  <si>
    <t>CONNECTOR MS-3106A-14S-2S</t>
  </si>
  <si>
    <t xml:space="preserve">SHAFT NO. 11  </t>
  </si>
  <si>
    <t xml:space="preserve">SHAFT NO. 11 SPLINED  </t>
  </si>
  <si>
    <t xml:space="preserve">SPRING CM11  </t>
  </si>
  <si>
    <t xml:space="preserve">BEARING PVB20 10  </t>
  </si>
  <si>
    <t xml:space="preserve">4520V INLET COVER-A PORT </t>
  </si>
  <si>
    <t xml:space="preserve">SHAFT-DRIVE NO. 11 SPLIN </t>
  </si>
  <si>
    <t xml:space="preserve">BKCG 06 604  </t>
  </si>
  <si>
    <t xml:space="preserve">BKDG01633  </t>
  </si>
  <si>
    <t xml:space="preserve">BKFG03 645  </t>
  </si>
  <si>
    <t xml:space="preserve">BKDG3-699M  </t>
  </si>
  <si>
    <t xml:space="preserve">SHAFT-NO. 11 SPLINED  </t>
  </si>
  <si>
    <t>Standard Pintle - PVB10/15</t>
  </si>
  <si>
    <t xml:space="preserve">Shaft  </t>
  </si>
  <si>
    <t>RETAINER, PACKING BACK UP</t>
  </si>
  <si>
    <t xml:space="preserve">BACK UP RING  </t>
  </si>
  <si>
    <t xml:space="preserve">Bearing  </t>
  </si>
  <si>
    <t xml:space="preserve">Control Spring, Outer  </t>
  </si>
  <si>
    <t xml:space="preserve">SHAFT NO. 3 VANE PUMP  </t>
  </si>
  <si>
    <t xml:space="preserve">SHAFT NO. 11-VANE PUMP  </t>
  </si>
  <si>
    <t xml:space="preserve">50 QEL SOLENOID 115AC 60 </t>
  </si>
  <si>
    <t xml:space="preserve">BEARING  </t>
  </si>
  <si>
    <t xml:space="preserve">S/A RELIEF VALVE 350 PSI </t>
  </si>
  <si>
    <t>Drive Shaft, Splined 9T - PVB5/6 (Dwng 295238)</t>
  </si>
  <si>
    <t xml:space="preserve">SHAFT-NO. 11 SPLINE  </t>
  </si>
  <si>
    <t xml:space="preserve">SPRING DG4S4  </t>
  </si>
  <si>
    <t>Shaft Bearing (Double Seal) - PVB5/6</t>
  </si>
  <si>
    <t>Drive Shaft, Splined 13T- PVB10/15 (Dwng 295730</t>
  </si>
  <si>
    <t xml:space="preserve">SHAFT NO. 15-VANE PUMP  </t>
  </si>
  <si>
    <t xml:space="preserve">CGAM 10 20  </t>
  </si>
  <si>
    <t xml:space="preserve">COIL 230AC 50 QEL  </t>
  </si>
  <si>
    <t xml:space="preserve">HF2P SEAL KIT - BUNA  </t>
  </si>
  <si>
    <t xml:space="preserve">HF4P SEAL KIT BUNA  </t>
  </si>
  <si>
    <t xml:space="preserve">SHAFT 50M-20  </t>
  </si>
  <si>
    <t xml:space="preserve">SHAFT NO. 1-VANE PUMP  </t>
  </si>
  <si>
    <t xml:space="preserve">SHAFT  </t>
  </si>
  <si>
    <t xml:space="preserve">ADAPTER-HUB  </t>
  </si>
  <si>
    <t xml:space="preserve">ADAPTOR HUB  </t>
  </si>
  <si>
    <t xml:space="preserve">SHAFT-SPLINE NO. 11  </t>
  </si>
  <si>
    <t xml:space="preserve">OCTC 1 21 TEMP CONT  </t>
  </si>
  <si>
    <t xml:space="preserve">COIL 115AC60 QEL  </t>
  </si>
  <si>
    <t xml:space="preserve">COIL  </t>
  </si>
  <si>
    <t xml:space="preserve">Control Spring, Inner  </t>
  </si>
  <si>
    <t xml:space="preserve">SHAFT,  #20 V20  </t>
  </si>
  <si>
    <t xml:space="preserve">COIL 215V 50C  </t>
  </si>
  <si>
    <t xml:space="preserve">Pintle  </t>
  </si>
  <si>
    <t xml:space="preserve">PLATE-SWASH (MACHINING)  </t>
  </si>
  <si>
    <t>SOLENOID 220AC 50 QEL 50/51</t>
  </si>
  <si>
    <t xml:space="preserve">COIL 220AC 50 QEL 50/51  </t>
  </si>
  <si>
    <t xml:space="preserve">SOLENOID 110 AC 50 QEL  </t>
  </si>
  <si>
    <t xml:space="preserve">COIL110AC5  </t>
  </si>
  <si>
    <t xml:space="preserve">SHAFT-NO.11 SPLINED  </t>
  </si>
  <si>
    <t xml:space="preserve">SHAFT NO. 38 VANE PUMP  </t>
  </si>
  <si>
    <t xml:space="preserve">PLUNGER  </t>
  </si>
  <si>
    <t>SWASHPLATE - PVB10/15 (make from 342743-998)</t>
  </si>
  <si>
    <t xml:space="preserve">PLUG (DMV) LT40 (INFAST) </t>
  </si>
  <si>
    <t>BEARING PVB20/29 ** 20 *11</t>
  </si>
  <si>
    <t xml:space="preserve">LOCK S/A  </t>
  </si>
  <si>
    <t xml:space="preserve">SPOOL-VALVE COMPENSATOR  </t>
  </si>
  <si>
    <t xml:space="preserve">POPPET  </t>
  </si>
  <si>
    <t xml:space="preserve">PRESSURE PLATE AND BUSHI </t>
  </si>
  <si>
    <t xml:space="preserve">SHAFT-DRIVE NO. 86  </t>
  </si>
  <si>
    <t>SHAFT 4535V NO86 10/12/20</t>
  </si>
  <si>
    <t>SHAFT PVB20/29 ** 20 * 11</t>
  </si>
  <si>
    <t xml:space="preserve">PRESS PLATE  </t>
  </si>
  <si>
    <t xml:space="preserve">SHAFT-NO. 11 DRIVE  </t>
  </si>
  <si>
    <t xml:space="preserve">PISTON ROD  </t>
  </si>
  <si>
    <t xml:space="preserve">Compensator piston  </t>
  </si>
  <si>
    <t xml:space="preserve">SPACER  </t>
  </si>
  <si>
    <t xml:space="preserve">BEARING ROLLER TAPERED  </t>
  </si>
  <si>
    <t xml:space="preserve">PINTLE YOKE  </t>
  </si>
  <si>
    <t xml:space="preserve">SHAFT NO. 86  </t>
  </si>
  <si>
    <t>SHAFT 3520V NO86 10/11/12</t>
  </si>
  <si>
    <t xml:space="preserve">SEAT, CHECK VALVE  </t>
  </si>
  <si>
    <t>POPPET, CHECK VALVE (10,000/RELEASE)</t>
  </si>
  <si>
    <t xml:space="preserve">SHAFT-DRIVE NO. 41  </t>
  </si>
  <si>
    <t xml:space="preserve">SEAT, SPHERICAL  </t>
  </si>
  <si>
    <t xml:space="preserve">SPACER  (525 BOX)  </t>
  </si>
  <si>
    <t xml:space="preserve">COVER  (2160 BOX)  </t>
  </si>
  <si>
    <t xml:space="preserve">BEARING ASSEMBLY  </t>
  </si>
  <si>
    <t xml:space="preserve">SHAFT NO.86  </t>
  </si>
  <si>
    <t xml:space="preserve">BEARING, ASSEMBLY  </t>
  </si>
  <si>
    <t xml:space="preserve">FB A 10  </t>
  </si>
  <si>
    <t xml:space="preserve">FB B 10  </t>
  </si>
  <si>
    <t xml:space="preserve">FB C 10  </t>
  </si>
  <si>
    <t xml:space="preserve">DRIVE SHAFT, NO. 2  </t>
  </si>
  <si>
    <t xml:space="preserve">SHAFT TA1919 TYPE 2  </t>
  </si>
  <si>
    <t xml:space="preserve">DRIVE SHAFT NO. 9  </t>
  </si>
  <si>
    <t xml:space="preserve">PLATE  </t>
  </si>
  <si>
    <t xml:space="preserve">COUPLING  </t>
  </si>
  <si>
    <t>BOLT, TORX HEAD   (800 /BOX)  SUB 02-147738</t>
  </si>
  <si>
    <t>SCREW  (TEMP.SUB 02-147737) 3400/BOX</t>
  </si>
  <si>
    <t xml:space="preserve">LEVER  </t>
  </si>
  <si>
    <t xml:space="preserve">DRIVE SHAFT  </t>
  </si>
  <si>
    <t xml:space="preserve">SHAFT SEAL (SECONDARY)  </t>
  </si>
  <si>
    <t xml:space="preserve">PIN  2500 PER BOX  </t>
  </si>
  <si>
    <t xml:space="preserve">SHAFT NO. 123 SPLINE  </t>
  </si>
  <si>
    <t xml:space="preserve">GASKET  </t>
  </si>
  <si>
    <t xml:space="preserve">SEAL KIT FOR NG16  </t>
  </si>
  <si>
    <t xml:space="preserve">SEAL KIT FOR CVI 63  </t>
  </si>
  <si>
    <t xml:space="preserve">SEAL KIT COVER NG25  </t>
  </si>
  <si>
    <t xml:space="preserve">SEAL KIT INSERT NG25  </t>
  </si>
  <si>
    <t xml:space="preserve">COIL 110 VOLT DC (P)  </t>
  </si>
  <si>
    <t xml:space="preserve">COIL 48 VOLT DC (OJ)  </t>
  </si>
  <si>
    <t xml:space="preserve">SPRING FOR DG21V 3 30  </t>
  </si>
  <si>
    <t>PLUNGER SEAL FOR DG21V 330</t>
  </si>
  <si>
    <t xml:space="preserve">COIL 24 VOLT DC (HL)  </t>
  </si>
  <si>
    <t xml:space="preserve">COIL 98 VOLT DC (DJ)  </t>
  </si>
  <si>
    <t xml:space="preserve">COIL 24V 50HZ  </t>
  </si>
  <si>
    <t xml:space="preserve">COIL48V50HZ  </t>
  </si>
  <si>
    <t>SUB ASSY ENCAPSULATED COIL (12</t>
  </si>
  <si>
    <t>NG10 PROPORTIONAL SOLENOID (24</t>
  </si>
  <si>
    <t>SUB ASSY ENCAPSULATED COIL LVD</t>
  </si>
  <si>
    <t>NG6 PROPORTIONAL SOLENOID (24V</t>
  </si>
  <si>
    <t xml:space="preserve">LVDT PLUG CONNECTOR B  </t>
  </si>
  <si>
    <t xml:space="preserve">LVDT PLUG CONNECTOR A  </t>
  </si>
  <si>
    <t>SEAL KIT FOR DG4V 5 20 A.C.</t>
  </si>
  <si>
    <t>SEAL KIT FOR DG4V 5 20 D.C.</t>
  </si>
  <si>
    <t>BK 464125 M (4PCS.BOLT 417411)</t>
  </si>
  <si>
    <t xml:space="preserve">SEAL KIT FOR DGMR 10 20  </t>
  </si>
  <si>
    <t>SEAL KIT FOR ECG-06/10 ECG5-06/10 10TG</t>
  </si>
  <si>
    <t>SEAL KIT FOR F3 ECG 10 10TG</t>
  </si>
  <si>
    <t>SEAL KIT FOR ECT 06/10 10TB</t>
  </si>
  <si>
    <t>SEAL KIT FOR EURG1/2 06 13UG</t>
  </si>
  <si>
    <t xml:space="preserve">BKDG01 633 M  </t>
  </si>
  <si>
    <t xml:space="preserve">CONVERSION KIT TO ADD S1 </t>
  </si>
  <si>
    <t>BK 466834M (4 OFF BOLT 473726)</t>
  </si>
  <si>
    <t>BK 466836M (4 OFF BOLT 473734)</t>
  </si>
  <si>
    <t>BK 466837M (4 OFF BOLT 417412)</t>
  </si>
  <si>
    <t>BK 466838 M (4 OFF BOLT 417413</t>
  </si>
  <si>
    <t>BK 466840 M (4 OFF BOLT 417415</t>
  </si>
  <si>
    <t xml:space="preserve">BK 466841 M  </t>
  </si>
  <si>
    <t>BK 466842 M (4 OFF BOLT 417417</t>
  </si>
  <si>
    <t xml:space="preserve">BK 466845 M  </t>
  </si>
  <si>
    <t xml:space="preserve">BK466855  </t>
  </si>
  <si>
    <t xml:space="preserve">SEAL KIT FOR DG5S 5  </t>
  </si>
  <si>
    <t xml:space="preserve">PLUG EXPANDER  </t>
  </si>
  <si>
    <t xml:space="preserve">SHAFT-DRIVE NO. 114  </t>
  </si>
  <si>
    <t xml:space="preserve">SEAL KIT CVI 40 D/F/R/X  </t>
  </si>
  <si>
    <t>SEAL KIT FOR CVU 50 SWB 30</t>
  </si>
  <si>
    <t xml:space="preserve">ORIFICE  </t>
  </si>
  <si>
    <t xml:space="preserve">SEAL KIT FOR CVC 16 B29  </t>
  </si>
  <si>
    <t xml:space="preserve">SEAL KIT FOR CVC 25 B29  </t>
  </si>
  <si>
    <t xml:space="preserve">SEAL KIT CVC 32 B29  </t>
  </si>
  <si>
    <t xml:space="preserve">SEAL KIT FOR CVC 40 B29  </t>
  </si>
  <si>
    <t xml:space="preserve">SEAL KIT CVC 50 B29  </t>
  </si>
  <si>
    <t xml:space="preserve">SEAL KIT FOR CVC 63 B29  </t>
  </si>
  <si>
    <t xml:space="preserve">SHAFT-TYPE 1  </t>
  </si>
  <si>
    <t xml:space="preserve">SHAFT-TYPE 151  </t>
  </si>
  <si>
    <t>SEAL KIT 2*VQ 30 DESIGN (F3=451471)</t>
  </si>
  <si>
    <t>SEAL KIT FOR 20V 30 DESIGN (F3=981322)</t>
  </si>
  <si>
    <t xml:space="preserve">SEAL, TRUNNION COVER  </t>
  </si>
  <si>
    <t>KEY, .375 SQ. 1.375 LONGWAS 140282</t>
  </si>
  <si>
    <t xml:space="preserve">ADJUSTING ROD  </t>
  </si>
  <si>
    <t>ADJUSTMENT ROD (WAS 354575)</t>
  </si>
  <si>
    <t>SHAFT, SAE D SPLINED #6 VMQ24535</t>
  </si>
  <si>
    <t>SHAFT,SAE C SPLINED #9 VMQ24525</t>
  </si>
  <si>
    <t xml:space="preserve">KBF LVDT CABLE 300MM  </t>
  </si>
  <si>
    <t xml:space="preserve">KBF LVDT CABLE 230MM  </t>
  </si>
  <si>
    <t xml:space="preserve">SEAL KIT FOR KBDG4V5  </t>
  </si>
  <si>
    <t>VALVE PLATE, RH 80CC (420)</t>
  </si>
  <si>
    <t>SHAFT, DRIVE, DUAL SEAL(PVE)</t>
  </si>
  <si>
    <t>SHAFT 45VTCS H.D. KEYED 203</t>
  </si>
  <si>
    <t xml:space="preserve">SHAFT NO. 86 KEYED  </t>
  </si>
  <si>
    <t xml:space="preserve">ROD WIPER  </t>
  </si>
  <si>
    <t xml:space="preserve">BOOT  </t>
  </si>
  <si>
    <t xml:space="preserve">PLUG SPRING OFFSET AC  </t>
  </si>
  <si>
    <t xml:space="preserve">ROD SEAL  </t>
  </si>
  <si>
    <t>S/A COILDG4V3 U A 60(110AC 50)</t>
  </si>
  <si>
    <t>S/A COILDG4V3 U C 60(220AC 50)</t>
  </si>
  <si>
    <t>S/A COILDG4V3 U ED 60(240AC50C</t>
  </si>
  <si>
    <t>S/A COILDG4V3 U B 60(DUAL VOLT</t>
  </si>
  <si>
    <t>S/A COIL DG4V3 U D 60 DUAL V</t>
  </si>
  <si>
    <t>S/A COIL DG4V3 U G 60 (12DC</t>
  </si>
  <si>
    <t>S/A ENCAPSULATED COIL  ISO 4400  24VDC</t>
  </si>
  <si>
    <t>S/A ENCAPSULATED COIL (ISO 440</t>
  </si>
  <si>
    <t xml:space="preserve">PLUG SPRING OFFSET DC  </t>
  </si>
  <si>
    <t>RUBBER COVER AC/DC(H) DG4V3 60</t>
  </si>
  <si>
    <t>RETAINING NUT - AC USE KIT 02-362449</t>
  </si>
  <si>
    <t>SUB ASSY ENCAPSULATED COIL 110</t>
  </si>
  <si>
    <t xml:space="preserve">ENCAP COIL AC F/L (D.) 6 </t>
  </si>
  <si>
    <t>S/A COIL DG4V3 J/W H 60 (24DC</t>
  </si>
  <si>
    <t>S/A COIL DG4V3 J/W HL 60(24DC)</t>
  </si>
  <si>
    <t xml:space="preserve">PISTON SEAL  </t>
  </si>
  <si>
    <t xml:space="preserve">KNOB BALL  </t>
  </si>
  <si>
    <t xml:space="preserve">ROD BIAS  </t>
  </si>
  <si>
    <t xml:space="preserve">SHAFT DRIVE NO 2  </t>
  </si>
  <si>
    <t xml:space="preserve">YOKE AND BUMPER PADS  </t>
  </si>
  <si>
    <t xml:space="preserve">GASKET HOUSING  </t>
  </si>
  <si>
    <t xml:space="preserve">COIL TUBE S/A 24V DIN  </t>
  </si>
  <si>
    <t xml:space="preserve">SHAFT DRIVE N0 2  </t>
  </si>
  <si>
    <t xml:space="preserve">BEARING SADDLE  </t>
  </si>
  <si>
    <t xml:space="preserve">VALVE PLATE PVE35QIR  </t>
  </si>
  <si>
    <t xml:space="preserve">BEARING-SADDLE  </t>
  </si>
  <si>
    <t xml:space="preserve">VALVE BLOCK R.H. (MACH)  </t>
  </si>
  <si>
    <t>VALVE PLATE PVE47QIR PVH98QIC</t>
  </si>
  <si>
    <t>VALVE PLATE RH PVH57QI PVE27QI</t>
  </si>
  <si>
    <t xml:space="preserve">BODY O-RING  </t>
  </si>
  <si>
    <t xml:space="preserve">PRESSURE TUBE  </t>
  </si>
  <si>
    <t xml:space="preserve">POSITION SWITCH  </t>
  </si>
  <si>
    <t xml:space="preserve">STROKE SENSOR  </t>
  </si>
  <si>
    <t xml:space="preserve">PISTON RING  </t>
  </si>
  <si>
    <t xml:space="preserve">PISTON RING (CI)  </t>
  </si>
  <si>
    <t xml:space="preserve">CONNECTOR 5 PIN W/OTSP  </t>
  </si>
  <si>
    <t xml:space="preserve">HANDLE  </t>
  </si>
  <si>
    <t>BKE-6M-50M BOLT KIT EXTENDER</t>
  </si>
  <si>
    <t xml:space="preserve">BKE 6M 60M  </t>
  </si>
  <si>
    <t xml:space="preserve">COVER, PINTLE PVH57  </t>
  </si>
  <si>
    <t xml:space="preserve">ROD CONTROL  </t>
  </si>
  <si>
    <t xml:space="preserve">COVER, PINTLE PVH74  </t>
  </si>
  <si>
    <t xml:space="preserve">END COVER PVH74 RH  </t>
  </si>
  <si>
    <t xml:space="preserve">SPRING BIAS  </t>
  </si>
  <si>
    <t xml:space="preserve">PISTON BIAS  </t>
  </si>
  <si>
    <t xml:space="preserve">SAE A COUPLING  </t>
  </si>
  <si>
    <t xml:space="preserve">BIAS SPRING - PVH98/106  </t>
  </si>
  <si>
    <t xml:space="preserve">SPRING BIAS PISTON  </t>
  </si>
  <si>
    <t>COUPLING-THRU DRIVE B FLANGE P</t>
  </si>
  <si>
    <t>COUPLING THRU DRIVE C FLANE PV</t>
  </si>
  <si>
    <t xml:space="preserve">PISTON CONTROL  </t>
  </si>
  <si>
    <t xml:space="preserve">PVH131 LF WAFER PLATE  </t>
  </si>
  <si>
    <t>VALVE PLATE MACHINING R.H. ROT</t>
  </si>
  <si>
    <t xml:space="preserve">SHAFT PVH 57 1 SHAFT  </t>
  </si>
  <si>
    <t>RUBBER BOOT GAITER</t>
  </si>
  <si>
    <t xml:space="preserve">RUBBER CAP  </t>
  </si>
  <si>
    <t>SEAL KT HRC4 J/H 30 DESIGN</t>
  </si>
  <si>
    <t>SPRING P/SO 30 DESIGN</t>
  </si>
  <si>
    <t>BK 534569M (473745 BOLT 4 PER)</t>
  </si>
  <si>
    <t>BK 534576M (4 OFF BOLT 473754)</t>
  </si>
  <si>
    <t xml:space="preserve">FEED BACK SPRING  </t>
  </si>
  <si>
    <t>SEAL KIT FOR KFD/TG4V3-20</t>
  </si>
  <si>
    <t>SEAL KIT FOR KFD/TG4V5-20</t>
  </si>
  <si>
    <t xml:space="preserve">SEAL KIT FOR K_DG4V 3  </t>
  </si>
  <si>
    <t xml:space="preserve">SEAL KIT KHDG3V 5 EU55  </t>
  </si>
  <si>
    <t>SEAL KIT K*DG5V-7 EU55 FOR KF/KH MAINSTAGE</t>
  </si>
  <si>
    <t>SEAL KIT FOR K+DG3V 8 EU55</t>
  </si>
  <si>
    <t xml:space="preserve">RING  </t>
  </si>
  <si>
    <t>COVER R(C)S/T FP 30DES</t>
  </si>
  <si>
    <t xml:space="preserve">ADAPTOR MOUNTING THRU D  </t>
  </si>
  <si>
    <t xml:space="preserve">SHAFT NO. 62 VANE PUMP  </t>
  </si>
  <si>
    <t xml:space="preserve">VALVE PLATE  </t>
  </si>
  <si>
    <t xml:space="preserve">SHAFT DRIVE NO. 2  </t>
  </si>
  <si>
    <t xml:space="preserve">BKDPNG25 705M  </t>
  </si>
  <si>
    <t xml:space="preserve">BK590716  </t>
  </si>
  <si>
    <t xml:space="preserve">FILTER SM4  </t>
  </si>
  <si>
    <t>PVB5/6 ADJ MAX STOP KIT RH</t>
  </si>
  <si>
    <t>PVB10/15 ADJ MAX STOP KIT</t>
  </si>
  <si>
    <t>PVB20/29 ADJ MAX STOP KIT</t>
  </si>
  <si>
    <t xml:space="preserve">C-KIT 1 GPM VTM  </t>
  </si>
  <si>
    <t xml:space="preserve">C-KIT 5 GPM VTM  </t>
  </si>
  <si>
    <t xml:space="preserve">C-KIT 6 GPM VTM  </t>
  </si>
  <si>
    <t xml:space="preserve">SHAFT #1 27/42 VTM  </t>
  </si>
  <si>
    <t>COIL S/A  FOR DG3/4VP-3 B 110AC50/115AC60</t>
  </si>
  <si>
    <t>COIL S/A  FOR DG3/4VP-3 C 240AC50</t>
  </si>
  <si>
    <t>COIL S/A  FOR DG3/4VP-3 D 220AC50/230AC60</t>
  </si>
  <si>
    <t>COIL S/A  FOR DG3/4VP-3 DP 127V DC</t>
  </si>
  <si>
    <t>COIL S/A  FOR DG3/4VP-3 G 12V DC</t>
  </si>
  <si>
    <t>COIL S/A  FOR DG3/4VP-3 H 24V DC</t>
  </si>
  <si>
    <t>COIL S/A  FOR DG3/4VP-3 H 24V DC KUP5D3</t>
  </si>
  <si>
    <t>COIL S/A  FOR DG3/4VP-3 OJ 48V DC</t>
  </si>
  <si>
    <t>COIL S/A  FOR DG3/4VP-3 P 110V DC</t>
  </si>
  <si>
    <t>COIL S/A  FOR DG3/4VP-3 S 220V DC</t>
  </si>
  <si>
    <t>LOCK AND KEYS (2X) FOR F(C)G-3</t>
  </si>
  <si>
    <t xml:space="preserve">SEAL KIT/VIS 25  </t>
  </si>
  <si>
    <t xml:space="preserve">SEAL KIT FOR X(C)G2V 6 W </t>
  </si>
  <si>
    <t xml:space="preserve">KIT SEAL X*G2V 8*W 10  </t>
  </si>
  <si>
    <t>SEAL KIT FOR PCGV 6 (D) 10</t>
  </si>
  <si>
    <t>SEAL KIT FOR PCGV 8 (D) 10</t>
  </si>
  <si>
    <t>KIT SEAL CG2V 6*W 10 (F3 709264)</t>
  </si>
  <si>
    <t>KIT SEAL CG2V 8*W 10 (F3 709265)</t>
  </si>
  <si>
    <t>BKXG2V 6(=4 OFF 473786 PER KIT</t>
  </si>
  <si>
    <t xml:space="preserve">BKCG2V 6 (473803-4PER)  </t>
  </si>
  <si>
    <t xml:space="preserve">BKCG2V 8  </t>
  </si>
  <si>
    <t>KIT STROKE ADJUSTMENT WITH KNO</t>
  </si>
  <si>
    <t>SEAL KIT FOR DG4V 3 C/N 30</t>
  </si>
  <si>
    <t xml:space="preserve">BUSH  </t>
  </si>
  <si>
    <t xml:space="preserve">COIL 12 V DC (G)  </t>
  </si>
  <si>
    <t xml:space="preserve">COIL 24 VOLT DC (H)  </t>
  </si>
  <si>
    <t xml:space="preserve">COIL 110 V 50 HZ  </t>
  </si>
  <si>
    <t xml:space="preserve">COIL A.C. DIN C - DG4V-5 </t>
  </si>
  <si>
    <t xml:space="preserve">240 VOLT AC 50 HZ  </t>
  </si>
  <si>
    <t>COIL 115 VOLT AC 60 HZ EK</t>
  </si>
  <si>
    <t xml:space="preserve">COIL 230 VOLT AC 60 HZ  </t>
  </si>
  <si>
    <t>SPRING OFFSET PLUG DG4V5DC</t>
  </si>
  <si>
    <t xml:space="preserve">SPRING OFFSET PLUG AC  </t>
  </si>
  <si>
    <t xml:space="preserve">RETAINER COIL AC DG4V-5  </t>
  </si>
  <si>
    <t xml:space="preserve">RETAINER COIL DC DG4V-5  </t>
  </si>
  <si>
    <t>RETAINING NUT CVUA / DG3/4VP-3</t>
  </si>
  <si>
    <t xml:space="preserve">VALVE PLATE R.H.  </t>
  </si>
  <si>
    <t xml:space="preserve">VALVE PLATE L H  </t>
  </si>
  <si>
    <t xml:space="preserve">VALVE PLATE R H  </t>
  </si>
  <si>
    <t xml:space="preserve">WAFER PLATE PVE19 L Q  </t>
  </si>
  <si>
    <t xml:space="preserve">SEAL,HIGH PRESS. LT30  </t>
  </si>
  <si>
    <t xml:space="preserve">SPARES KIT  </t>
  </si>
  <si>
    <t>ORIFICE 0.7</t>
  </si>
  <si>
    <t xml:space="preserve">SHAFT NO. 182  </t>
  </si>
  <si>
    <t xml:space="preserve">SEAL KIT FOR DGMPC 21  </t>
  </si>
  <si>
    <t>SEAL KIT FOR DG*VP 3 10 SEE 6045235-/6045237-001</t>
  </si>
  <si>
    <t xml:space="preserve">BK 638878 M  </t>
  </si>
  <si>
    <t>SEAL KIT FOR 4CG/1/2-4CT/1 06</t>
  </si>
  <si>
    <t xml:space="preserve">CYLINDER SEAL KIT  </t>
  </si>
  <si>
    <t xml:space="preserve">ROD SEAL KIT  </t>
  </si>
  <si>
    <t xml:space="preserve">ROD CARTRIDGE SEAL KIT  </t>
  </si>
  <si>
    <t xml:space="preserve">6533N-TVDG SEAL KIT  </t>
  </si>
  <si>
    <t xml:space="preserve">6533N-TVGL SEAL KIT  </t>
  </si>
  <si>
    <t xml:space="preserve">PISTON SEAL KIT  </t>
  </si>
  <si>
    <t xml:space="preserve">SEAL KIT PISTON  </t>
  </si>
  <si>
    <t>PISTON SEAL KIT D/N AM687, AM686</t>
  </si>
  <si>
    <t xml:space="preserve">VALVE PLATE PVH57  </t>
  </si>
  <si>
    <t xml:space="preserve">GASKET-END CAP  </t>
  </si>
  <si>
    <t xml:space="preserve">VALVE PLATE R.H. PVE12  </t>
  </si>
  <si>
    <t xml:space="preserve">STEEL BALL  </t>
  </si>
  <si>
    <t xml:space="preserve">SHAFT DRIVE N0 1  </t>
  </si>
  <si>
    <t xml:space="preserve">COIL 110V AC  </t>
  </si>
  <si>
    <t>SPRING HELICAL COMPRESSION</t>
  </si>
  <si>
    <t xml:space="preserve">RETAINING NUT(S DC)  </t>
  </si>
  <si>
    <t xml:space="preserve">RETAINING NUT - AC  </t>
  </si>
  <si>
    <t>RETAINING NUT AC (WEATHERPROOF) DG4V-3S</t>
  </si>
  <si>
    <t xml:space="preserve">ORIFICE PLUG (0,30)  </t>
  </si>
  <si>
    <t xml:space="preserve">ORIFICE PLUG (0,60)  </t>
  </si>
  <si>
    <t xml:space="preserve">ORIFICE PLUG (0,80)  </t>
  </si>
  <si>
    <t>DG4V 3 60, 1.0MM</t>
  </si>
  <si>
    <t xml:space="preserve">ORIFICE PLUG (1,30)  </t>
  </si>
  <si>
    <t xml:space="preserve">ORIFICE PLUG (1,50)  </t>
  </si>
  <si>
    <t xml:space="preserve">ORIFICE PLUG (2,00)  </t>
  </si>
  <si>
    <t xml:space="preserve">ORIFICE PLUG (2,30)  </t>
  </si>
  <si>
    <t xml:space="preserve">ORIFICE PLUG (BLANK)  </t>
  </si>
  <si>
    <t xml:space="preserve">INSERT PIN  </t>
  </si>
  <si>
    <t xml:space="preserve">HOUSING KCG  </t>
  </si>
  <si>
    <t xml:space="preserve">SEAL KIT for DG17V-3-60  </t>
  </si>
  <si>
    <t xml:space="preserve">SEAL KIT DG5S-8 30/40  </t>
  </si>
  <si>
    <t>SEAL KIT F3-DG5S4-04 60/70</t>
  </si>
  <si>
    <t>WATERPROOF OVERRIDE KIT DG4V-3 60 DESIGN</t>
  </si>
  <si>
    <t xml:space="preserve">DG18V 3 * 60 SEAL KIT  </t>
  </si>
  <si>
    <t>S/A ENCAPSULATED COIL (ISO 440 BLACK COIL</t>
  </si>
  <si>
    <t xml:space="preserve">COIL 196 VOLT DC (EJ)  </t>
  </si>
  <si>
    <t xml:space="preserve">SEAL KIT FOR C175 11 EN  </t>
  </si>
  <si>
    <t xml:space="preserve">SEAL KIT FOR ECG5 06 20  </t>
  </si>
  <si>
    <t xml:space="preserve">SEAL KIT FOR ECT5 06 20  </t>
  </si>
  <si>
    <t xml:space="preserve">SEAL KIT FOR ECG5 10 20  </t>
  </si>
  <si>
    <t xml:space="preserve">SEAL KIT ECT5 10  </t>
  </si>
  <si>
    <t>SEAL KIT FOR DGMFN 7 10 &amp; DGMPC 7 10/14</t>
  </si>
  <si>
    <t>SEAL KIT FOR DGMX-7 10 &amp;DGMC-7 10</t>
  </si>
  <si>
    <t>SEAL KIT FOR F3 X(C)G2V 6-W 10</t>
  </si>
  <si>
    <t>SEAL KIT FOR F3 CG2V 6 W10</t>
  </si>
  <si>
    <t xml:space="preserve">SEAL KIT FOR F3 CG2V 8 W </t>
  </si>
  <si>
    <t xml:space="preserve">SOLENOID PLUG CONNECTOR  </t>
  </si>
  <si>
    <t xml:space="preserve">SPRING - ELEMENT  </t>
  </si>
  <si>
    <t>KIT SEALS ADJUSTER FOR CVC/CVU</t>
  </si>
  <si>
    <t xml:space="preserve">CENTERING WASHER  </t>
  </si>
  <si>
    <t xml:space="preserve">SUB ASSY P PORT CHECK VA </t>
  </si>
  <si>
    <t>SEAL KIT DG3SH/V DG5S H8 DG5V H8 (F3=791584)</t>
  </si>
  <si>
    <t xml:space="preserve">BKDG 7 M  </t>
  </si>
  <si>
    <t>KIT COVER STROKE ADJUSTER DG5V</t>
  </si>
  <si>
    <t>SEAL KIT FOR DG V 7 10 &amp;20</t>
  </si>
  <si>
    <t>SEAL KIT FOR F3 DG3/5V 710</t>
  </si>
  <si>
    <t>SEAL KIT FOR DG17 H8 10/12/30</t>
  </si>
  <si>
    <t>NG16 SEALING PARTS COVERSTD</t>
  </si>
  <si>
    <t>NG16 SEALING PARTS MAIN VALVE</t>
  </si>
  <si>
    <t>NG25 SEALING PARTS MAIN VALVE</t>
  </si>
  <si>
    <t>NG40 SEALING PARTS COVERSTD</t>
  </si>
  <si>
    <t>NG40 SEALING PARTS MAIN VALVE</t>
  </si>
  <si>
    <t>NG40 SEALING PARTS ADJUSTER RO</t>
  </si>
  <si>
    <t>NG50 SEALING PARTS COVERSTD</t>
  </si>
  <si>
    <t>SEAL KIT FOR CVGC 3/ECGF02 20</t>
  </si>
  <si>
    <t>ORIFICE M6X6 DIN913 DM 1.4</t>
  </si>
  <si>
    <t xml:space="preserve">ADJUSTMENT HEAD  </t>
  </si>
  <si>
    <t xml:space="preserve">ADJUSTMENT HEAD SA  </t>
  </si>
  <si>
    <t xml:space="preserve">SEAT PILOT CETOP 8  </t>
  </si>
  <si>
    <t xml:space="preserve">SPRING 2 BAR  </t>
  </si>
  <si>
    <t xml:space="preserve">SPRING 5 BAR  </t>
  </si>
  <si>
    <t xml:space="preserve">SPRING 10 BAR  </t>
  </si>
  <si>
    <t>SPRING COMPENSATOR (35/200)</t>
  </si>
  <si>
    <t xml:space="preserve">BK DG7 858918  </t>
  </si>
  <si>
    <t>SEAL KIT FOR DG4V 3 60 DIN</t>
  </si>
  <si>
    <t>SEAL KIT FOR DG4V 3 60 FLYING</t>
  </si>
  <si>
    <t>SEAL KIT FOR DG4V 3 S+/X+ 60</t>
  </si>
  <si>
    <t>SEAL KIT FOR DGMX+ 3 +W 21 +</t>
  </si>
  <si>
    <t xml:space="preserve">SHAFT-35VTAS-H.D. KEYED- </t>
  </si>
  <si>
    <t xml:space="preserve">SHAFT-35VTBS-H.D. KEYED- </t>
  </si>
  <si>
    <t xml:space="preserve">SHAFT-35VTCS-H.D. KEYED- </t>
  </si>
  <si>
    <t xml:space="preserve">SHAFT PVH98 (#2)  </t>
  </si>
  <si>
    <t xml:space="preserve">LOCKNUT  </t>
  </si>
  <si>
    <t xml:space="preserve">SCREW, ADJUSTING COMP  </t>
  </si>
  <si>
    <t xml:space="preserve">SPRING, COMPENSATOR  </t>
  </si>
  <si>
    <t>COUPLING TA19 NO VANE PUMP</t>
  </si>
  <si>
    <t xml:space="preserve">SHAFT THRU DRIVE NO.1  </t>
  </si>
  <si>
    <t xml:space="preserve">PVH74 13 SHAFT  </t>
  </si>
  <si>
    <t>PVH131 QIC RF WAFER PLATE</t>
  </si>
  <si>
    <t xml:space="preserve">SHAFT THRU DRIVE N0 3  </t>
  </si>
  <si>
    <t xml:space="preserve">PVH98 13 SHAFT  </t>
  </si>
  <si>
    <t xml:space="preserve">COUPLING SAE C  </t>
  </si>
  <si>
    <t>S/A ENCAPSULATED COIL (NN)</t>
  </si>
  <si>
    <t>S/A COIL DG4V3 U KK 60(48AC50C</t>
  </si>
  <si>
    <t>S/A ENCAPSULATED COIL (ISO 4400) 48V DC</t>
  </si>
  <si>
    <t>S/A ENCAPSULATED COIL (SIO 440</t>
  </si>
  <si>
    <t>S/A ENCAPSULATED COIL D.C. PLUG-IN (H)</t>
  </si>
  <si>
    <t xml:space="preserve">STEEL PAD  </t>
  </si>
  <si>
    <t>SUB ASSEMBLY STEEL PAD &amp;COVER</t>
  </si>
  <si>
    <t>SPRING HELICAL COMPRESS ION</t>
  </si>
  <si>
    <t>SUB ASSY ENCAPDULATED COIL (ISO 4400) DF 10VDC</t>
  </si>
  <si>
    <t>S/A ENCAPSULATED COIL (EK)</t>
  </si>
  <si>
    <t xml:space="preserve">SA ADJUSTMENT HEAD GH  </t>
  </si>
  <si>
    <t xml:space="preserve">KNOB AND PIN  </t>
  </si>
  <si>
    <t xml:space="preserve">KIT HANDKNOB ADJUSTMENT  </t>
  </si>
  <si>
    <t>KIT STROKE ADJUSTER FOR DG5V 7</t>
  </si>
  <si>
    <t xml:space="preserve">BK 870017  </t>
  </si>
  <si>
    <t>SEAL KIT FOR DGMPC 3 40 AND NN</t>
  </si>
  <si>
    <t>SEAL KIT FOR DGMFN 3 40 AND ++</t>
  </si>
  <si>
    <t>SEAL KIT FOR DGMDC 3 40 AND ++</t>
  </si>
  <si>
    <t>SEAL KIT FOR DGMC/DGMC2 3 40 (A OR B)</t>
  </si>
  <si>
    <t>SEAL KIT FOR DGMC 3 40 SINGLE</t>
  </si>
  <si>
    <t>SEAL KIT FOR DGMX2-3-40 DGMR/</t>
  </si>
  <si>
    <t xml:space="preserve">RETAINING NUT  </t>
  </si>
  <si>
    <t>SPIRAL RETAINING RING (MEDIUM DUTY)</t>
  </si>
  <si>
    <t xml:space="preserve">PLUG KIT  </t>
  </si>
  <si>
    <t xml:space="preserve">SPRING - HELICAL COMPRES </t>
  </si>
  <si>
    <t>SUB ASSY COIL 28V (KUP4D2-DS)</t>
  </si>
  <si>
    <t>RETAINING NUT DC (WEATHERPROOF) DG4V-3S</t>
  </si>
  <si>
    <t>NG10 PROPORTIONAL SOLENOID</t>
  </si>
  <si>
    <t xml:space="preserve">COVER PROTECTION  </t>
  </si>
  <si>
    <t>RETAINING NUT AC (WEATHERPROOF) DG4V-3</t>
  </si>
  <si>
    <t xml:space="preserve">ORIFICE PLUG (1,60) (D)  </t>
  </si>
  <si>
    <t xml:space="preserve">S/A SOL. (MOQ 100) (H)  </t>
  </si>
  <si>
    <t>24VDC SOLENOID (DIN) DG4V 2</t>
  </si>
  <si>
    <t xml:space="preserve">NG10 PROPORTIONAL SOL.  </t>
  </si>
  <si>
    <t xml:space="preserve">M6 ORIFICE PLUG - 2.5 DI </t>
  </si>
  <si>
    <t xml:space="preserve">SOLENOID DGV-2 (DJ)  </t>
  </si>
  <si>
    <t xml:space="preserve">SOL DGV 2 (G)D12-2011-2  </t>
  </si>
  <si>
    <t xml:space="preserve">F/L SOL D12-2081-2  </t>
  </si>
  <si>
    <t xml:space="preserve">SEAL KIT 4535VSH  </t>
  </si>
  <si>
    <t>PVH131 QIC LH WAFER PLATE</t>
  </si>
  <si>
    <t xml:space="preserve">SHAFT-25VTBS-SAE B SPLIN </t>
  </si>
  <si>
    <t xml:space="preserve">SHAFT-35VTCS-SAE C SPLIN </t>
  </si>
  <si>
    <t xml:space="preserve">SHAFT-35VTBS-SAE C SPLIN </t>
  </si>
  <si>
    <t>SHAFT 25VTAS SAE B SPLINED 297</t>
  </si>
  <si>
    <t>SHAFT 25VTAS SAE B KEYED202</t>
  </si>
  <si>
    <t>SHAFT 25VTBS SAE B KEYED202</t>
  </si>
  <si>
    <t>SHAFT-25VTBS-SAE BB KEYED-203</t>
  </si>
  <si>
    <t>SHAFT N0 16 THRU DRIVE PVH 131</t>
  </si>
  <si>
    <t>SEAL KIT F8-25M 20 DESIGN</t>
  </si>
  <si>
    <t xml:space="preserve">ADAPTER KIT SAE C  </t>
  </si>
  <si>
    <t xml:space="preserve">ADAPTER KIT SAE B  </t>
  </si>
  <si>
    <t xml:space="preserve">C PAD ADAPTER  </t>
  </si>
  <si>
    <t>KIT PVH 57 PVH74 PVH98 PVH131</t>
  </si>
  <si>
    <t xml:space="preserve">COUPLING A  </t>
  </si>
  <si>
    <t xml:space="preserve">COUPLING SAE B  </t>
  </si>
  <si>
    <t xml:space="preserve">COUPLING CC  </t>
  </si>
  <si>
    <t xml:space="preserve">BEARING KIT  </t>
  </si>
  <si>
    <t xml:space="preserve">BEARING KIT - PVH74  </t>
  </si>
  <si>
    <t xml:space="preserve">BEARING KIT - PVH98  </t>
  </si>
  <si>
    <t xml:space="preserve">BEARING KIT - PVH131  </t>
  </si>
  <si>
    <t xml:space="preserve">SEAL KIT FOR DGM**-5-30  </t>
  </si>
  <si>
    <t>COIL UG 12V DC DIN DG4S4-01 60</t>
  </si>
  <si>
    <t xml:space="preserve">COIL DP 125V DC  </t>
  </si>
  <si>
    <t xml:space="preserve">SEAL KIT FOR PVE12/PVQ25 </t>
  </si>
  <si>
    <t>SHAFT BEARING KIT FOR PVE 12</t>
  </si>
  <si>
    <t xml:space="preserve">SHAFT, THRU DRIVE NO 2  </t>
  </si>
  <si>
    <t xml:space="preserve">SHAFT-45VTCS-SAE C SPLIN </t>
  </si>
  <si>
    <t>PRESSURE PLATE (MACH.) COVER END</t>
  </si>
  <si>
    <t>PRESSURE PLATE (MACH.) SHAFT END</t>
  </si>
  <si>
    <t xml:space="preserve">SHAFT, #297 4535VQSV10  </t>
  </si>
  <si>
    <t xml:space="preserve">SEAL KIT FOR SM4-20 50  </t>
  </si>
  <si>
    <t>SEAL KIT DG5S4 06 (F3=919217)</t>
  </si>
  <si>
    <t>SEAL KIT DG5S4 10* (F3=919215) 50/51</t>
  </si>
  <si>
    <t xml:space="preserve">SEAL KIT DG3S4 100  </t>
  </si>
  <si>
    <t>SEAL KIT M/PVB5(F3=919308)</t>
  </si>
  <si>
    <t>SEAL KIT M/PVB10/15(F3=919309)</t>
  </si>
  <si>
    <t xml:space="preserve">KIT  </t>
  </si>
  <si>
    <t>SEAL KIT F*G 03 20/22 (F3=919398)</t>
  </si>
  <si>
    <t>SEAL KIT F3 DG4S4 01 40/41/50</t>
  </si>
  <si>
    <t>SEAL KIT 4CT 06 10 (F3=919336)</t>
  </si>
  <si>
    <t>SEAL KIT XCG 06 10 (F3=919342)</t>
  </si>
  <si>
    <t>SEALKIT DT15S206 10(F3=919253)</t>
  </si>
  <si>
    <t>SEAL KIT M/PFB5 (F3=919311)</t>
  </si>
  <si>
    <t>SEAL KITP/MFB 20/29(F3=919313)</t>
  </si>
  <si>
    <t xml:space="preserve">GASKET KIT R*G 06 10  </t>
  </si>
  <si>
    <t>SEAL KIT F3 DG/T15S2-06 10/11</t>
  </si>
  <si>
    <t>SEAL KIT FOR 35V 20 2 8</t>
  </si>
  <si>
    <t>SEALKITCT06/10.CF16(F3=919284)</t>
  </si>
  <si>
    <t>SEAL KIT CG06/10 (F3=919284)</t>
  </si>
  <si>
    <t>SEAL KIT FOR F3 CG/T 06/10 10</t>
  </si>
  <si>
    <t>SEAL KIT F CG 02 (F3=919285)</t>
  </si>
  <si>
    <t xml:space="preserve">GASKET KIT F3 2520V  </t>
  </si>
  <si>
    <t xml:space="preserve">SEAL KIT FOR F3 3525V  </t>
  </si>
  <si>
    <t>SEAL KIT FOR F3 DG3S4-06 40/50/51</t>
  </si>
  <si>
    <t xml:space="preserve">SEAL KIT CF 16/24  </t>
  </si>
  <si>
    <t xml:space="preserve">F3 SEAL KIT 4525V  </t>
  </si>
  <si>
    <t xml:space="preserve">GASKET KIT F3 4535V  </t>
  </si>
  <si>
    <t>SEALKIT FOR F3 DG4S4 01 40/50</t>
  </si>
  <si>
    <t>GASKET KIT C3G 815 (F3=919378)</t>
  </si>
  <si>
    <t>SEAL KIT C*G 825 (F3=919382)</t>
  </si>
  <si>
    <t>SEAL KIT F3 C2/3/4/5G 825</t>
  </si>
  <si>
    <t>SEAL KIT FOR F3 FC/FRG 03 20/2</t>
  </si>
  <si>
    <t xml:space="preserve">SEAL KIT PVB 5  </t>
  </si>
  <si>
    <t>SEAL KIT CG 06 20 (F3=919444)</t>
  </si>
  <si>
    <t>SEAL KIT DG1**01 50(F3=919432)</t>
  </si>
  <si>
    <t>GASKET KIT F3 DG17/1S* 01* 50</t>
  </si>
  <si>
    <t>SEAL KIT R*G 10 22 (F3=919691)</t>
  </si>
  <si>
    <t xml:space="preserve">GASKET KIT F3 CG 06 20  </t>
  </si>
  <si>
    <t xml:space="preserve">SEAL KIT FG06 11/12/13  </t>
  </si>
  <si>
    <t>S/KIT PVB20/29 SFXW(F3=919847)</t>
  </si>
  <si>
    <t>POCHETTE JOINTS POUR PVB6A</t>
  </si>
  <si>
    <t>SEAL KIT P/MFB 10 (F3=919312)</t>
  </si>
  <si>
    <t xml:space="preserve">GASKET KIT F3 XCG 06 20  </t>
  </si>
  <si>
    <t>SEAL KIT FOR X(C)G/T-06 20/21/22</t>
  </si>
  <si>
    <t xml:space="preserve">SEAL KIT F3 45V  </t>
  </si>
  <si>
    <t>SEAL KIT PVB45 SF 20(F3=919695)</t>
  </si>
  <si>
    <t>GASKET KIT 50F* 10 (F3=919644)</t>
  </si>
  <si>
    <t xml:space="preserve">SEAL KIT FOR PVB45 31  </t>
  </si>
  <si>
    <t xml:space="preserve">SEAL KIT FOR 25V 10 12  </t>
  </si>
  <si>
    <t>SEAL KIT X*G/T10 20 (F3=919852</t>
  </si>
  <si>
    <t>SEAL KIT FOR F3 4CG-03-*-20/21</t>
  </si>
  <si>
    <t xml:space="preserve">GASKET KIT  </t>
  </si>
  <si>
    <t>F3 SEAL KIT FOR 4CG-10-**-20/21</t>
  </si>
  <si>
    <t>SEAL KIT PVB10/15 (F3=919686)</t>
  </si>
  <si>
    <t>SEAL KIT PVB20/29/45A (F3=919847)</t>
  </si>
  <si>
    <t>SEAL KIT FOR F3 PVB1-MVB1</t>
  </si>
  <si>
    <t xml:space="preserve">SEAL KIT FOR F3 RCG 10  </t>
  </si>
  <si>
    <t>SEAL KIT PVB10/15 WY/WX 30</t>
  </si>
  <si>
    <t xml:space="preserve">F6 100F GASKET KIT  </t>
  </si>
  <si>
    <t>SEAL KIT FOR F3 RCG 03 23</t>
  </si>
  <si>
    <t>SEAL KIT RCG 06 23 (F3=919781)</t>
  </si>
  <si>
    <t xml:space="preserve">GASKET KIT F3 RCG 06 23  </t>
  </si>
  <si>
    <t>SEAL KIT FOR F3 V20 1 11</t>
  </si>
  <si>
    <t>GASKET KIT F3 X*T/G 03 20</t>
  </si>
  <si>
    <t>SEAL KIT FOR F3 PVB20/29-45A</t>
  </si>
  <si>
    <t>SEAL KIT 45V/46V (F3=919632)</t>
  </si>
  <si>
    <t>GASKET KIT F3 CGR 02 20/21</t>
  </si>
  <si>
    <t xml:space="preserve">Seal Kit - PVB45  </t>
  </si>
  <si>
    <t xml:space="preserve">GASKET KIT 35/36VQ  </t>
  </si>
  <si>
    <t xml:space="preserve">SEAL KIT 35VQ 20/30 DSS  </t>
  </si>
  <si>
    <t xml:space="preserve">SEAL KIT FOR 25VQ 26VQ  </t>
  </si>
  <si>
    <t xml:space="preserve">SEAL KIT FOR 25VQ  </t>
  </si>
  <si>
    <t xml:space="preserve">SEAL KIT FOR 45VQ  </t>
  </si>
  <si>
    <t xml:space="preserve">SEAL KIT 45VQ  </t>
  </si>
  <si>
    <t xml:space="preserve">SEAL KIT F345VQ  </t>
  </si>
  <si>
    <t xml:space="preserve">SEAL KIT F3 35/36VQ 20  </t>
  </si>
  <si>
    <t xml:space="preserve">SEAL KIT FG 02  </t>
  </si>
  <si>
    <t>SEAL KIT FOR 2520VQ 20 single shaft seal</t>
  </si>
  <si>
    <t>SEAL KIT FOR 2520VQ 20 double shaft seal</t>
  </si>
  <si>
    <t>SEAL KIT F3 2520/2521VQ 20</t>
  </si>
  <si>
    <t>SEAL KIT F3 2520/2521VQ 20 DSS</t>
  </si>
  <si>
    <t>SEAL KIT FOR 3520VQ SINGLE SHAFT SEAL</t>
  </si>
  <si>
    <t>SEAL KIT FOR 3520VQ DOUBLE SHAFT SEAL</t>
  </si>
  <si>
    <t>SEAL KIT FOR SINGLE SHAFT SEAL MODELS 3525VQ</t>
  </si>
  <si>
    <t>SEAL KIT 3525VQ-20 DSS</t>
  </si>
  <si>
    <t>SEAL KIT FOR F3 3525/3625VQ 20</t>
  </si>
  <si>
    <t xml:space="preserve">SEAL KIT FOR 4520VQ  </t>
  </si>
  <si>
    <t xml:space="preserve">F3 SEAL KIT 4520VQ  </t>
  </si>
  <si>
    <t xml:space="preserve">SEAL KIT FOR 4525VQ  </t>
  </si>
  <si>
    <t xml:space="preserve">SEAL KIT FOR 4535VQ  </t>
  </si>
  <si>
    <t xml:space="preserve">SEAL KIT 4535VQ  </t>
  </si>
  <si>
    <t xml:space="preserve">GASKET KIT F-3 4535VQ DO </t>
  </si>
  <si>
    <t xml:space="preserve">SEAL KIT DGMX 3  </t>
  </si>
  <si>
    <t xml:space="preserve">SEAL KIT F3-F(C)G-02 50  </t>
  </si>
  <si>
    <t xml:space="preserve">SEAL KIT FOR TA19V20-21  </t>
  </si>
  <si>
    <t xml:space="preserve">SEAL KIT F8-35M  </t>
  </si>
  <si>
    <t xml:space="preserve">SEAL KIT 25VT-A  </t>
  </si>
  <si>
    <t xml:space="preserve">SEAL KIT 35VTA SSS  </t>
  </si>
  <si>
    <t>SEAL KIT FOR 35VTC 20 28+</t>
  </si>
  <si>
    <t>SEAL KIT FOR 45VTC 20 2 8+</t>
  </si>
  <si>
    <t>F3 SEAL KIT FOR DG5S4-10*A-*-*-53</t>
  </si>
  <si>
    <t xml:space="preserve">SEAL KIT  DGPC01  </t>
  </si>
  <si>
    <t>SEAL KIT FOR PVE19RWQ PVQ40/45 10</t>
  </si>
  <si>
    <t>SEAL KIT FOR 25VQTA*** **1*20L</t>
  </si>
  <si>
    <t>SEAL KIT CM11 (F3=923093)</t>
  </si>
  <si>
    <t xml:space="preserve">SEAL KIT DG5S 8  </t>
  </si>
  <si>
    <t xml:space="preserve">SEAL KIT SM4-10 10  </t>
  </si>
  <si>
    <t xml:space="preserve">SEAL KIT FOR SM4-20 10  </t>
  </si>
  <si>
    <t>SEAL KIT FOR V200 (F3=919291)</t>
  </si>
  <si>
    <t xml:space="preserve">SEAL KIT V110  </t>
  </si>
  <si>
    <t>SEAL KIT FOR M2 13 (F3=700755)</t>
  </si>
  <si>
    <t>SEAL KIT 25V/26V (F3=919656)</t>
  </si>
  <si>
    <t>SEAL KIT 35V/36V (F3=919262)</t>
  </si>
  <si>
    <t>SEAL KIT FOR 50V (F3=919256)</t>
  </si>
  <si>
    <t>SEAL KIT FOR 2520V (F3=919303)</t>
  </si>
  <si>
    <t>SEAL KIT FOR 3520V (F3=919304)</t>
  </si>
  <si>
    <t>SEAL KIT FOR 3525V (F3=919305)</t>
  </si>
  <si>
    <t>SEAL KIT FOR 4520V (F3=919616)</t>
  </si>
  <si>
    <t>SEAL KIT FOR 4525V (F3=919345)</t>
  </si>
  <si>
    <t xml:space="preserve">SEAL KIT FOR 4535V  </t>
  </si>
  <si>
    <t>SEAL KIT FOR VTM27 12-14+ VTM42</t>
  </si>
  <si>
    <t>SEAL KIT FOR 45M 11 (F3=919402</t>
  </si>
  <si>
    <t xml:space="preserve">SEAL KIT FOR MPVB 20  </t>
  </si>
  <si>
    <t xml:space="preserve">SEAL KIT FOR 50M  </t>
  </si>
  <si>
    <t xml:space="preserve">SEAL KIT FOR 45M  </t>
  </si>
  <si>
    <t xml:space="preserve">SEAL KIT 2*M 20  </t>
  </si>
  <si>
    <t xml:space="preserve">SEAL KIT FOR 35M  </t>
  </si>
  <si>
    <t>SEAL KIT V2020 (F3=919786)</t>
  </si>
  <si>
    <t>SEAL KIT FOR V10 (F3=919772)</t>
  </si>
  <si>
    <t>SEAL KIT V2010 (F3=919770)</t>
  </si>
  <si>
    <t xml:space="preserve">SEAL KIT FOR TA1515V 11  </t>
  </si>
  <si>
    <t xml:space="preserve">RESERVOIR VTM27  </t>
  </si>
  <si>
    <t xml:space="preserve">MANIFOLD BLOCK  </t>
  </si>
  <si>
    <t xml:space="preserve">SEAL KIT 45M/46M  </t>
  </si>
  <si>
    <t xml:space="preserve">SEAL KIT - TA1919V10  </t>
  </si>
  <si>
    <t xml:space="preserve">SEAL KIT FOR MFE19X 30  </t>
  </si>
  <si>
    <t xml:space="preserve">SEAL KIT PVE19/21  </t>
  </si>
  <si>
    <t xml:space="preserve">SPACER KIT  </t>
  </si>
  <si>
    <t xml:space="preserve">SHAFT SPACER KIT  </t>
  </si>
  <si>
    <t xml:space="preserve">FILTER KIT SM4-10/15 10  </t>
  </si>
  <si>
    <t xml:space="preserve">SHAFT,  #5 4545VPF  </t>
  </si>
  <si>
    <t xml:space="preserve">RING, LOCKING  </t>
  </si>
  <si>
    <t>VALVE PLATE R.H. ROTATION (MAC</t>
  </si>
  <si>
    <t>EXTENSION OUTLET, REV B (IMP)</t>
  </si>
  <si>
    <t>VALVE BLOCK R.H. (MACHINING)</t>
  </si>
  <si>
    <t xml:space="preserve">CONTROL PISTON -PVH45/50 </t>
  </si>
  <si>
    <t xml:space="preserve">CONTROL SLEEVE  </t>
  </si>
  <si>
    <t xml:space="preserve">CHAIN LINK - PVM18/PVM45 </t>
  </si>
  <si>
    <t>VALVE PLATE R/H PVH45-40INDUSTRIAL</t>
  </si>
  <si>
    <t xml:space="preserve">BIAS SPRING, INNER  </t>
  </si>
  <si>
    <t xml:space="preserve">BIAS SPRING, OUTER  </t>
  </si>
  <si>
    <t>END COVER R.H. (Safety Stock 50 pcs)</t>
  </si>
  <si>
    <t>Control Piston - PVH131/141</t>
  </si>
  <si>
    <t>Control Sleeve - PVM131/141</t>
  </si>
  <si>
    <t xml:space="preserve">YOKE PVH131-40  </t>
  </si>
  <si>
    <t xml:space="preserve">BEARING, SADDLE GROOVED  </t>
  </si>
  <si>
    <t xml:space="preserve">END COVER PVM131 RH  </t>
  </si>
  <si>
    <t xml:space="preserve">Chain Link - PVM131/141  </t>
  </si>
  <si>
    <t xml:space="preserve">NO. 2 SHAFT SAE 32 4 (C) </t>
  </si>
  <si>
    <t xml:space="preserve">SEAT-SPRING  </t>
  </si>
  <si>
    <t>VALVE PLATE LOW NOISE R.H. ROT</t>
  </si>
  <si>
    <t>CAP-MAXIMUM ADJUSTING CONTROL</t>
  </si>
  <si>
    <t xml:space="preserve">HEX-STOP  </t>
  </si>
  <si>
    <t>End Cover (LH) End Port - PVQ10/13 (232668-999)</t>
  </si>
  <si>
    <t>End Cover (RH) End Port - PVQ10/13 (232668-999)</t>
  </si>
  <si>
    <t>End Cover (RH) Side Port- PVQ10/13 (291468-999)</t>
  </si>
  <si>
    <t xml:space="preserve">SHAFT #1 SAE B PVH45 40  </t>
  </si>
  <si>
    <t>SHAFT-DRIVE PVM045 (NO. 3 SAE B SPLINE, NEW 07)</t>
  </si>
  <si>
    <t>SHAFT, #2 PVM45 THRU-DRIVE SAE B-B STR KEY</t>
  </si>
  <si>
    <t>SHAFT #4 T/DR SAE B-B SPLINE INPUT 26T OUTPUT</t>
  </si>
  <si>
    <t xml:space="preserve">SHAFT, #2 PVH131 40  </t>
  </si>
  <si>
    <t xml:space="preserve">DRIVE SHAFT, #09 PVM131  </t>
  </si>
  <si>
    <t xml:space="preserve">SHAFT, #3  PVH131 40  </t>
  </si>
  <si>
    <t xml:space="preserve">Hex Stop - PVM131/141  </t>
  </si>
  <si>
    <t xml:space="preserve">CHAIN LINK - PVM57/63  </t>
  </si>
  <si>
    <t xml:space="preserve">CONNECTOR - AMPLIFIER  </t>
  </si>
  <si>
    <t>VALVE PLATE R/H PVM131 INDUSTRIAL</t>
  </si>
  <si>
    <t>SADDLE BEARING PVM45/50 GROOVED</t>
  </si>
  <si>
    <t xml:space="preserve">VALVE PLATE PVM18 ER  </t>
  </si>
  <si>
    <t xml:space="preserve">VALVE PLATE - PVM141 ER  </t>
  </si>
  <si>
    <t>VALVE BLOCK,ISO-FLANGE SIDE-PORTED PVH57/63-40</t>
  </si>
  <si>
    <t>COUPLING, 26T TO 13T PVH74</t>
  </si>
  <si>
    <t xml:space="preserve">COUPLING, 26T TO 9T  </t>
  </si>
  <si>
    <t xml:space="preserve">ADAPTER BLOCK  </t>
  </si>
  <si>
    <t xml:space="preserve">SPOOL, VALVE COMPENSATOR </t>
  </si>
  <si>
    <t xml:space="preserve">DRIVE SHAFT - PVM18/20  </t>
  </si>
  <si>
    <t xml:space="preserve">F/L SOL(D12-2081-8)  </t>
  </si>
  <si>
    <t>ORIFICE PLUG 0.6mm</t>
  </si>
  <si>
    <t>ORIFICE PLUG 0.8mm</t>
  </si>
  <si>
    <t>ORIFICE PLUG 1.0mm</t>
  </si>
  <si>
    <t>ORIFICE PLUG 1.2mm</t>
  </si>
  <si>
    <t xml:space="preserve">BUTTON  </t>
  </si>
  <si>
    <t xml:space="preserve">INSTAL &amp; COM GUIDELINES  </t>
  </si>
  <si>
    <t xml:space="preserve">FILTER ELEMENT KIT  </t>
  </si>
  <si>
    <t xml:space="preserve">ELEMENT KIT  </t>
  </si>
  <si>
    <t xml:space="preserve">V PLATE S/A  </t>
  </si>
  <si>
    <t xml:space="preserve">SUB-ASSY KIT  </t>
  </si>
  <si>
    <t xml:space="preserve">YOKE PVM098/106  </t>
  </si>
  <si>
    <t>ADJUSTMENT SCREW PVM98/106</t>
  </si>
  <si>
    <t xml:space="preserve">CHAIN LINK - PVM074/098  </t>
  </si>
  <si>
    <t xml:space="preserve">DRIVE SHAFT - PVM98/106  </t>
  </si>
  <si>
    <t xml:space="preserve">VALVE PLATE - PVM98  </t>
  </si>
  <si>
    <t>VALVE PLATE PVM 106 R/H INDUSTRIAL</t>
  </si>
  <si>
    <t xml:space="preserve">VALVE PLATE - PVM74 ER  </t>
  </si>
  <si>
    <t xml:space="preserve">ORIFICE 3.0 PINK  </t>
  </si>
  <si>
    <t xml:space="preserve">SOLENOID KUP4(D12 2015-2 </t>
  </si>
  <si>
    <t>PLUG CONNECTOR WITH LIGHT PG 11 12/24 DC</t>
  </si>
  <si>
    <t>PLUG CONNECTOR WITH LIGHT PG 11 110/125 AC</t>
  </si>
  <si>
    <t>PLUG CONNECTOR WITH LIGHT PG 11 200/240 AC</t>
  </si>
  <si>
    <t xml:space="preserve">ORIFICE PLUG  </t>
  </si>
  <si>
    <t>ORIFICE M5X6 DIN913 DM 0.6</t>
  </si>
  <si>
    <t>ORIFICE M5X6 DIN913 DM 0.7</t>
  </si>
  <si>
    <t>ORIFICE M5X6 DIN913 DM 1.2</t>
  </si>
  <si>
    <t xml:space="preserve">ORIFICE DISC  </t>
  </si>
  <si>
    <t xml:space="preserve">ORIFICE M6 * 0.6  </t>
  </si>
  <si>
    <t>BK 978459 (4 977533~~4 977537)</t>
  </si>
  <si>
    <t>BK 978461(4 977535~~4 977537)</t>
  </si>
  <si>
    <t>SEAL KIT FOR DGMC(2) 5 10</t>
  </si>
  <si>
    <t>SEAL KIT DGMX(C)/R(C) 5 10</t>
  </si>
  <si>
    <t>SEAL KIT FOR DGMPC 5 10/11</t>
  </si>
  <si>
    <t>BK 978480 M(4 OFF BOLT 473756)</t>
  </si>
  <si>
    <t xml:space="preserve">F3 SEAL 20V****30  </t>
  </si>
  <si>
    <t>SEAL KIT FOR DGMC/DGMC2 3 30</t>
  </si>
  <si>
    <t>ORIFICE M5X6 DIN913 DM 0.8</t>
  </si>
  <si>
    <t>ORIFICE M5X6 DIN913 DM 1.0</t>
  </si>
  <si>
    <t>ORIFICE DISC M5X6 DIN913 DM 1.5</t>
  </si>
  <si>
    <t>ORIFICE M6X6 DIN913 DM 0.8</t>
  </si>
  <si>
    <t>ORIFICE PLUG M6X6 DIN913 DM 1.0</t>
  </si>
  <si>
    <t>ORIFICE M6X6 DIN913 DM 1.2</t>
  </si>
  <si>
    <t xml:space="preserve">M6 ORIFICE PLUG 1.50MM  </t>
  </si>
  <si>
    <t xml:space="preserve">BK986135 M.  </t>
  </si>
  <si>
    <t>SK-FG/FCG-N SEAL KIT FOR FG3-FCG 3</t>
  </si>
  <si>
    <t>PVE COMPENSATOR KIT PVE/Q 210 BAR CD</t>
  </si>
  <si>
    <t>COMPLETE SEAL KIT PVM074/PVM081</t>
  </si>
  <si>
    <t>COMPLETE SEAL KIT PVM098/106</t>
  </si>
  <si>
    <t xml:space="preserve">SHAFT BEARING KIT  </t>
  </si>
  <si>
    <t>PVH0000000000B242000AL000000000A PVH COMPENSATOR</t>
  </si>
  <si>
    <t xml:space="preserve">PVB COMPENSATOR KIT  </t>
  </si>
  <si>
    <t>KIT PVB END COVER, END PORTED RH PVQ10/13-**R</t>
  </si>
  <si>
    <t>KIT PVB END COVER SIDE PORT R.H. PVQ10/13-**R-SS</t>
  </si>
  <si>
    <t>KIT PVB END COVER END PORTED R.H. PVQ20-**RSE**</t>
  </si>
  <si>
    <t>KIT PVB END COVER END PORTED L.H. PVQ32-**L-SE**</t>
  </si>
  <si>
    <t>SEAL KIT PVM 98/106 WITH BunaN SHAFT SEAL SINGLE</t>
  </si>
  <si>
    <t xml:space="preserve">END COVER SHIM KIT  </t>
  </si>
  <si>
    <t>SHIM KIT FOR CG2V +++ + 10</t>
  </si>
  <si>
    <t>SEAL KIT FOR K+DG4V3 M 20</t>
  </si>
  <si>
    <t xml:space="preserve">KIT ORIFICE FOR CVC/I 16 </t>
  </si>
  <si>
    <t xml:space="preserve">ADJUSTMENT SCREW  </t>
  </si>
  <si>
    <t xml:space="preserve">COIL 205 VOLT DC (EO)  </t>
  </si>
  <si>
    <t>SEAL SHAFT PV*131 NITRILE</t>
  </si>
  <si>
    <t xml:space="preserve">SHAFT SEAL - NITRILE  </t>
  </si>
  <si>
    <t xml:space="preserve">PISTON, COMPENSATOR  </t>
  </si>
  <si>
    <t xml:space="preserve">PLUG, HOLLOW HEX  </t>
  </si>
  <si>
    <t>RETAINING NUT DC (WEATHERPROOF) DG4V-3</t>
  </si>
  <si>
    <t>SOLENOID - 24 VOLT DC - KUP6-D2</t>
  </si>
  <si>
    <t>COIL - DC 12 V DC (AMP CONNECTOR)</t>
  </si>
  <si>
    <t>COIL H 24V DC KUP5D DG4V-3M</t>
  </si>
  <si>
    <t>AIRDRO ROD BUSHING ASSEMBLIES WITH SEALS</t>
  </si>
  <si>
    <t xml:space="preserve">BODY O RING  </t>
  </si>
  <si>
    <t>SEAL KIT FOR TB-SERIES DESIGN L7969</t>
  </si>
  <si>
    <t xml:space="preserve">CLEVIS  </t>
  </si>
  <si>
    <t xml:space="preserve">PISTON RING KIT  </t>
  </si>
  <si>
    <t xml:space="preserve">ROD SEAL KIT U  </t>
  </si>
  <si>
    <t>HFX12M-PRG CNTRLR HI-PRF12I/0,32BIT,3 CAN PORTS</t>
  </si>
  <si>
    <t>HFX20m-PRG CNTRLR HI-PRF20I/O,32BIT,3 CAN PORTS</t>
  </si>
  <si>
    <t>HFX32M-PRG CNTRLR HI-PRF32I/O,32BIT, 3 CAN PORTS</t>
  </si>
  <si>
    <t>HFX48m-PRG CNTRLR HI-PRF48I/O,32BIT, 3 CAN PORTS</t>
  </si>
  <si>
    <t>VFX40m - PROG DSPLY 4.3"CLR LCD,FRNT MNT,2CANPRT</t>
  </si>
  <si>
    <t>VFX41M-PROG DSPLY4.3"CLRLCD,FRNT MNT,2CANPRT,VID</t>
  </si>
  <si>
    <t>VFX70M PROG DSPLY 7" CLR LCD,FRNT MNT,2CANPRT</t>
  </si>
  <si>
    <t>VFX71M-PROG DSPLY 7"CLR LCD,FRNT MNT,2CANPRT,VID</t>
  </si>
  <si>
    <t>VFX72M-PRG DSPLY7"CLRLCDFRNT MNT,2CANPRT,VIDTSCN</t>
  </si>
  <si>
    <t>VFX70m, USB ONLY, CONNECTOR 2</t>
  </si>
  <si>
    <t>VFX70m, 1m FLYING LEADS,CONNECTOR 2</t>
  </si>
  <si>
    <t>VFX70m, 1m FLYING LEADS,CONNECTOR 1</t>
  </si>
  <si>
    <t>VFX40m, USB, PLUG A - PROGRAM. WIRING HARNESS</t>
  </si>
  <si>
    <t>VFX40m STANDARD CONNECTOR KIT</t>
  </si>
  <si>
    <t>HFX32m/HFX48m -CNNCTR KTDRC/DT BODIES,CNTCTS,PLG</t>
  </si>
  <si>
    <t>VFX70m, RAM BALL MOUNTING BRACKET</t>
  </si>
  <si>
    <t xml:space="preserve">VFX40m DEVELOPERS KIT  </t>
  </si>
  <si>
    <t xml:space="preserve">VFX70m, DEVELOPERS KIT  </t>
  </si>
  <si>
    <t>DEVELOPER'S DEMO KIT VFX70m-HFX32</t>
  </si>
  <si>
    <t>HFX12M/20M CABLE, 2M, SEALED (IP67)</t>
  </si>
  <si>
    <t>HFX32M/48M CABLE, 2M, SEALED (IP67)</t>
  </si>
  <si>
    <t>HFX12M/HFX20M -CNNCTR KTDRC/DT BODIES,CNTCTS,PLG</t>
  </si>
  <si>
    <t>DONGLE - FX SERVICE TOOL(ECOM DONGLE)</t>
  </si>
  <si>
    <t>VFX40m AND VFX70m PROGRAMMING KIT</t>
  </si>
  <si>
    <t xml:space="preserve">Pro-FX FULL LICENSE KEY  </t>
  </si>
  <si>
    <t>AEC028R09ABA1AA4310000001001AB0001B</t>
  </si>
  <si>
    <t>AEC028L31AAA1AA221000000200100CD01B</t>
  </si>
  <si>
    <t>AEC028R09ABB1AA1439000001001000B01B</t>
  </si>
  <si>
    <t>AEC028L31AAA1AA314000000100100CD01B</t>
  </si>
  <si>
    <t>AEC028L09ABA1AA132000000100100CD01B</t>
  </si>
  <si>
    <t>AEC028R05ADC2AB242000000100100CD01B</t>
  </si>
  <si>
    <t>AEC028R09ADC2AC280000000100100CD01B</t>
  </si>
  <si>
    <t>AEC028L09ABA1AA282000000100100CD01B</t>
  </si>
  <si>
    <t>AEC028L09ABA1AC280000000100100CD01B</t>
  </si>
  <si>
    <t>AEC028R05ABA1AA281400000100100CD01B</t>
  </si>
  <si>
    <t>AEC028L05ABA1AA281400000100100CD01B</t>
  </si>
  <si>
    <t>AEC028L09AAA1AA4314000A0200100CD01B</t>
  </si>
  <si>
    <t>AEC028R09ABA1AA432000000100100CD01B</t>
  </si>
  <si>
    <t>AEC028R09ABB1AA2839000001001000B01B</t>
  </si>
  <si>
    <t>AEC028R09ABA1AA2610000A03001000001B</t>
  </si>
  <si>
    <t>AEC028R05AAA1AA431400000200100CD01B</t>
  </si>
  <si>
    <t>AEC028R09ADC2AB432000000200100CD01B</t>
  </si>
  <si>
    <t>AEC028R05ADC2AB342000000100100CD01B</t>
  </si>
  <si>
    <t>AEC028R09ADC2AC430000000100100CD01B</t>
  </si>
  <si>
    <t>AEC028L09ABA1AA432000000100100CD01B</t>
  </si>
  <si>
    <t>AEC028R05ABA1AA431400000100100CD01B</t>
  </si>
  <si>
    <t>AEC028R05AAA1AC120000000200100CD01B</t>
  </si>
  <si>
    <t>AEC028R09ABA1AA2614000A0200100CD01B</t>
  </si>
  <si>
    <t>AEC028R05AAA1AA3414000002001000001B</t>
  </si>
  <si>
    <t>AEC028R05AAG1AA2614000002001000004B</t>
  </si>
  <si>
    <t>AEC028R05ACC2AP3421000002001000001B</t>
  </si>
  <si>
    <t>AEC028R09ABA1AA171000000300100CD01B</t>
  </si>
  <si>
    <t>AEC028R09ADC2AB4320000A0200100CD01B</t>
  </si>
  <si>
    <t>AEC028L09ADC2AV3600000T0100100CD01B</t>
  </si>
  <si>
    <t>AEC028L09ABA1AA171000000300100CD01B</t>
  </si>
  <si>
    <t>AEC028R09ADC2AV1900000T01001000B01B</t>
  </si>
  <si>
    <t>AEC028R09ABA1AA3921000001AC1000B01B</t>
  </si>
  <si>
    <t>AEC028R09ADC2AC580000000100100CD01B</t>
  </si>
  <si>
    <t>AEC028L34ACC2AA4321000002001000001B</t>
  </si>
  <si>
    <t>AEC028R05AFC1AB342000000100100CD01B</t>
  </si>
  <si>
    <t>AEC028L31AAA1AA432000000200100CD01B</t>
  </si>
  <si>
    <t>AEC028R05ADC2AB342000000200100CD01B</t>
  </si>
  <si>
    <t>AEC028R09ABA1AC340000000200100CD01B</t>
  </si>
  <si>
    <t>AEC028R09AFA1AC2600000002AC1000B01B</t>
  </si>
  <si>
    <t>AEC028R31ADC2AB262000000100100CD01B</t>
  </si>
  <si>
    <t>AEC028R09ABA1AC2600000002AC1000B01B</t>
  </si>
  <si>
    <t>AEC028R09AAA1AP2632000001001000B01B</t>
  </si>
  <si>
    <t>AEC028L09ABA1AC2600000002AC1000B01B</t>
  </si>
  <si>
    <t>AEC028R31ABA1AA142000000100100CD01B</t>
  </si>
  <si>
    <t>AEC028R05AAA1AA341400000200100CD01B</t>
  </si>
  <si>
    <t>AEC028R09ABA1AC1600000001AA1000B01B</t>
  </si>
  <si>
    <t>MH0028BA01AB0000000000000AA00J</t>
  </si>
  <si>
    <t>MH0045BA01AB0000000000000AA00J</t>
  </si>
  <si>
    <t>MH0059BA01AB0000000000000AA00J</t>
  </si>
  <si>
    <t>MH0097BA01AB0000000000000AJ00J</t>
  </si>
  <si>
    <t>MH0113BA01AB0000000000000AJ00J</t>
  </si>
  <si>
    <t>MH0141BA01AB0000000000000AA00J</t>
  </si>
  <si>
    <t>MH0179BA01AB0000000000000AA00J</t>
  </si>
  <si>
    <t>MH0226BA01AB0000000000000AA00J</t>
  </si>
  <si>
    <t>MH0028BA01AA0000000000000AA00J</t>
  </si>
  <si>
    <t>MH0045BA01AA0000000000000AA00J</t>
  </si>
  <si>
    <t>MH0059BA01AA0000000000000AJ00J</t>
  </si>
  <si>
    <t>MH0097BA01AA0000000000000AA00J</t>
  </si>
  <si>
    <t>MH0113BA01AA0000000000000AA00J</t>
  </si>
  <si>
    <t>MH0141BA01AA0000000000000AA00J</t>
  </si>
  <si>
    <t>MH0179BA01AA0000000000000AJ00J</t>
  </si>
  <si>
    <t>MH0226BA01AA0000000000000AA00J</t>
  </si>
  <si>
    <t>MH0028BA01AC0000000000000AA00J</t>
  </si>
  <si>
    <t>MH0045BA01AC0000000000000AA00J</t>
  </si>
  <si>
    <t>MH0059BA01AC0000000000000AA00J</t>
  </si>
  <si>
    <t>MH0113BA01AC0000000000000AA00J</t>
  </si>
  <si>
    <t>MH0179BA01AC0000000000000AA00J</t>
  </si>
  <si>
    <t>MH0226BA01AC0000000000000AA00J</t>
  </si>
  <si>
    <t>MH0028AA01AB0000000000000AJ00J</t>
  </si>
  <si>
    <t>MH0045AA01AB0000000000000AA00J</t>
  </si>
  <si>
    <t>MH0059AA01AB0000000000000AA00J</t>
  </si>
  <si>
    <t>MH0097AA01AB0000000000000AJ00J</t>
  </si>
  <si>
    <t>MH0113AA01AB0000000000000AJ00J</t>
  </si>
  <si>
    <t>MH0141AA01AB0000000000000AA00J</t>
  </si>
  <si>
    <t>MH0179AA01AB0000000000000AA00J</t>
  </si>
  <si>
    <t>MH0226AA01AB0000000000000AA00J</t>
  </si>
  <si>
    <t>MH0028AA01AA0000000000000AA00J</t>
  </si>
  <si>
    <t>MH0045AA01AA0000000000000AJ00J</t>
  </si>
  <si>
    <t>MH0059AA01AA0000000000000AJ00J</t>
  </si>
  <si>
    <t>MH0097AA01AA0000000000000AJ00J</t>
  </si>
  <si>
    <t>MH0113AA01AA0000000000000AJ00J</t>
  </si>
  <si>
    <t>MH0141AA01AA0000000000000AA00J</t>
  </si>
  <si>
    <t>MH0179AA01AA0000000000000AA00J</t>
  </si>
  <si>
    <t>MH0226AA01AA0000000000000AA00J</t>
  </si>
  <si>
    <t>MH0045AA01AC0000000000000AA00J</t>
  </si>
  <si>
    <t>MH0059AA01AC0000000000000AA00J</t>
  </si>
  <si>
    <t>MH0097AA01AC0000000000000AA00J</t>
  </si>
  <si>
    <t>MH0113AA01AC0000000000000AJ00J</t>
  </si>
  <si>
    <t>MH0141AA01AC0000000000000AA00J</t>
  </si>
  <si>
    <t>MH0226AA01AC0000000000000AA00J</t>
  </si>
  <si>
    <t>MH0045BA02AB0000000000000AA00J</t>
  </si>
  <si>
    <t>MH0097BA02AB0000000000000AA00J</t>
  </si>
  <si>
    <t>MH0141BA02AB0000000000000AA00J</t>
  </si>
  <si>
    <t>MH0179BA02AB0000000000000AA00J</t>
  </si>
  <si>
    <t>MH0045BA02AA0000000000000AA00J</t>
  </si>
  <si>
    <t>MH0059BA02AA0000000000000AA00J</t>
  </si>
  <si>
    <t>MH0141BA02AA0000000000000AA00J</t>
  </si>
  <si>
    <t>MH0028BA02AC0000000000000AA00J</t>
  </si>
  <si>
    <t>MH0045BA02AC0000000000000AA00J</t>
  </si>
  <si>
    <t>MH0059BA02AC0000000000000AA00J</t>
  </si>
  <si>
    <t>MH0097BA02AC0000000000000AA00J</t>
  </si>
  <si>
    <t>MH0141BA02AC0000000000000AA00J</t>
  </si>
  <si>
    <t>MH0028AA02AB0000000000000AA00J</t>
  </si>
  <si>
    <t>MH0045AA02AB0000000000000AA00J</t>
  </si>
  <si>
    <t>MH0097AA02AB0000000000000AA00J</t>
  </si>
  <si>
    <t>MH0141AA02AB0000000000000AA00J</t>
  </si>
  <si>
    <t>MH0179AA02AB0000000000000AA00J</t>
  </si>
  <si>
    <t>MH0226AA02AB0000000000000AA00J</t>
  </si>
  <si>
    <t>MH0028AA02AA0000000000000AA00J</t>
  </si>
  <si>
    <t>MH0045AA02AA0000000000000AA00J</t>
  </si>
  <si>
    <t>MH0059AA02AA0000000000000AA00J</t>
  </si>
  <si>
    <t>MH0097AA02AA0000000000000AA00J</t>
  </si>
  <si>
    <t>MH0113AA02AA0000000000000AA00J</t>
  </si>
  <si>
    <t>MH0179AA02AA0000000000000AA00J</t>
  </si>
  <si>
    <t>MH0226AA02AA0000000000000AA00J</t>
  </si>
  <si>
    <t>MH0045AA02AC0000000000000AA00J</t>
  </si>
  <si>
    <t>MH0059AA02AC0000000000000AA00J</t>
  </si>
  <si>
    <t>MH0141AA02AC0000000000000AA00J</t>
  </si>
  <si>
    <t>MH0097BA01AB0100000000000AA00J</t>
  </si>
  <si>
    <t>MH0028AA01AB0100000000000AA00J</t>
  </si>
  <si>
    <t>MH0059AA01AB0100000000000AA00J</t>
  </si>
  <si>
    <t>MH0028AA01AA0100000000000AA00J</t>
  </si>
  <si>
    <t>MH0045AA01AA0100000000000AA00J</t>
  </si>
  <si>
    <t>MH0097AA16AB0000000000000AA00J</t>
  </si>
  <si>
    <t>MH0059AA01AB0000000000002AA00J</t>
  </si>
  <si>
    <t>MH0179AA01AB0000000000002AA00J</t>
  </si>
  <si>
    <t>MH0028AA01AA0000000000002AA00J</t>
  </si>
  <si>
    <t>MH0028BA01AB00A0000000000AA00J</t>
  </si>
  <si>
    <t>MH0028BA01AC00A0000000000AA00J</t>
  </si>
  <si>
    <t>MH0045BA01AC00A0000000000AA00J</t>
  </si>
  <si>
    <t>MH0059BA01AC00A0000000000AA00J</t>
  </si>
  <si>
    <t>MH0028AA01AB00A0000000000AA00J</t>
  </si>
  <si>
    <t>MH0059AA01AB00A0000000000AA00J</t>
  </si>
  <si>
    <t>MH0113AA01AB00A0000000000AA00J</t>
  </si>
  <si>
    <t>MH0226AA01AB00A0000000000AA00J</t>
  </si>
  <si>
    <t>MH0045AA01AA00A0000000000AA00J</t>
  </si>
  <si>
    <t>MH0045BA08AC0000000000000AA00J</t>
  </si>
  <si>
    <t>MH0028BA08AA0000000000000AA00J</t>
  </si>
  <si>
    <t>MH0059BA08AB0000000000000AA00J</t>
  </si>
  <si>
    <t>MH0097BA08AB0000000000000AA00J</t>
  </si>
  <si>
    <t>MH0097AA08AA0000000000000AA00J</t>
  </si>
  <si>
    <t>MH0045BA01AB000N000000000AA00J</t>
  </si>
  <si>
    <t>MH0097BA02AA0000000000001AH00J</t>
  </si>
  <si>
    <t>MH0045BA07AB0000000000000AA00J</t>
  </si>
  <si>
    <t>MH0045BA07AC0000000000000AA00J</t>
  </si>
  <si>
    <t>MH0097BA18EB0000000000000AA00J</t>
  </si>
  <si>
    <t>MH0113BA18EB0000000000000AA00J</t>
  </si>
  <si>
    <t>MH0045BA07EB0100000000AJ1AA00J</t>
  </si>
  <si>
    <t>MH0028BA07AB0000000000000AA00J</t>
  </si>
  <si>
    <t>MH0097BA01AA0100000000000AA00J</t>
  </si>
  <si>
    <t>MH0028BA01AA0100000000000AA00J</t>
  </si>
  <si>
    <t>MH0045BA18EB0100000000AJ0AA00J</t>
  </si>
  <si>
    <t>MH0045BA01EB0000000000000AA00J</t>
  </si>
  <si>
    <t>MH0179JA01AE0000000000000AA00J</t>
  </si>
  <si>
    <t>MH0059BA01AB0000000000AB0AA00J</t>
  </si>
  <si>
    <t>MH0141BA01AB0000000000AB0AA00J</t>
  </si>
  <si>
    <t>MH0097BA01AA0000000000AB0AA00J</t>
  </si>
  <si>
    <t>MH0059FA01AD0200000000000AA00J</t>
  </si>
  <si>
    <t>MH0028FA01AF0200000000000AA00J</t>
  </si>
  <si>
    <t>MH0045FA01AF0200000000000AA00J</t>
  </si>
  <si>
    <t>MH0059FA01AF0200000000000AA00J</t>
  </si>
  <si>
    <t>MH0113FA01AF0200000000000AA00J</t>
  </si>
  <si>
    <t>MH0179FA01AF0200000000000AA00J</t>
  </si>
  <si>
    <t>MH0028AA01AF0200000000000AA00J</t>
  </si>
  <si>
    <t>MH0045AA01AF0200000000000AA00J</t>
  </si>
  <si>
    <t>MH0059AA01AF0200000000000AA00J</t>
  </si>
  <si>
    <t>MH0097AA01AF0200000000000AA00J</t>
  </si>
  <si>
    <t>MH0113AA01AF0200000000000AA00J</t>
  </si>
  <si>
    <t>MH0141AA01AF0200000000000AA00J</t>
  </si>
  <si>
    <t>MH0179AA01AF0200000000000AA00J</t>
  </si>
  <si>
    <t>MH0028FA02AF0200000000000AA00J</t>
  </si>
  <si>
    <t>MH0028AA02AF0200000000000AA00J</t>
  </si>
  <si>
    <t>MH0097AA02AF0200000000000AA00J</t>
  </si>
  <si>
    <t>MH0113AA02AF0200000000000AA00J</t>
  </si>
  <si>
    <t>MH0141AA02AF0200000000000AA00J</t>
  </si>
  <si>
    <t>MH0179AA02AF0200000000000AA00J</t>
  </si>
  <si>
    <t>MH0226AA02AF0200000000000AA00J</t>
  </si>
  <si>
    <t>MH0045FA24AD0200000000000AA00J</t>
  </si>
  <si>
    <t>MH0028FA24AF0200000000000AA00J</t>
  </si>
  <si>
    <t>MH0045FA24AF0200000000000AA00J</t>
  </si>
  <si>
    <t>MH0059FA24AF0200000000000AA00J</t>
  </si>
  <si>
    <t>MH0097FA24AF0200000000000AA00J</t>
  </si>
  <si>
    <t>MH0045AA24AD0200000000000AA00J</t>
  </si>
  <si>
    <t>MH0113AA24AD0200000000000AA00J</t>
  </si>
  <si>
    <t>MH0179AA24AD0200000000000AA00J</t>
  </si>
  <si>
    <t>MH0226AA24AD0200000000000AA00J</t>
  </si>
  <si>
    <t>MH0028AA24AF0200000000000AA00J</t>
  </si>
  <si>
    <t>MH0045AA24AF0200000000000AA00J</t>
  </si>
  <si>
    <t>MH0059AA24AF0200000000000AA00J</t>
  </si>
  <si>
    <t>MH0097AA24AF0200000000000AA00J</t>
  </si>
  <si>
    <t>MH0113AA24AF0200000000000AA00J</t>
  </si>
  <si>
    <t>MH0141AA24AF0200000000000AA00J</t>
  </si>
  <si>
    <t>MH0179AA24AF0200000000000AA00J</t>
  </si>
  <si>
    <t>MH0226AA24AF0200000000000AA00J</t>
  </si>
  <si>
    <t>MH0028AA01EB0000000000000AA00J</t>
  </si>
  <si>
    <t>MH0045AA01AC0100000000000AA00J</t>
  </si>
  <si>
    <t>MH0028BA01EB0100000000000AA00J</t>
  </si>
  <si>
    <t>MH0059AA01AA00A0000000000AA00J</t>
  </si>
  <si>
    <t>MH0097AA01AA0100000000000AA00J</t>
  </si>
  <si>
    <t>MH0022AA01AA00A0000000000AA00J</t>
  </si>
  <si>
    <t>MH0035AA01AA00A0000000000AA00J</t>
  </si>
  <si>
    <t>MH0073AA01AA0000000000000AA00J</t>
  </si>
  <si>
    <t>MH0089AA01AA0000000000000AA00J</t>
  </si>
  <si>
    <t>MH0022AA01AB00A0000000000AA00J</t>
  </si>
  <si>
    <t>MH0035AA01AB00A0000000000AA00J</t>
  </si>
  <si>
    <t>MH0073AA01AB0000000000000AA00J</t>
  </si>
  <si>
    <t>MH0089AA01AB0000000000000AA00J</t>
  </si>
  <si>
    <t>MH0035AA01AC00A0000000000AA00J</t>
  </si>
  <si>
    <t>MH0022AA01AF02A0000000000AA00J</t>
  </si>
  <si>
    <t>MH0073AA01AF0200000000000AA00J</t>
  </si>
  <si>
    <t>MH0089AA01AF0200000000000AA00J</t>
  </si>
  <si>
    <t>MH0022AA02AA00A0000000000AA00J</t>
  </si>
  <si>
    <t>MH0035AA02AB00A0000000000AA00J</t>
  </si>
  <si>
    <t>MH0089AA02AB0000000000000AA00J</t>
  </si>
  <si>
    <t>MH0089AA02AC0000000000000AA00J</t>
  </si>
  <si>
    <t>MH0022AA24AD02A0000000000AA00J</t>
  </si>
  <si>
    <t>MH0073AA24AD0200000000000AA00J</t>
  </si>
  <si>
    <t>MH0022AA24AF02A0000000000AA00J</t>
  </si>
  <si>
    <t>MH0035AA24AF02A0000000000AA00J</t>
  </si>
  <si>
    <t>MH0073AA24AF0200000000000AA00J</t>
  </si>
  <si>
    <t>MH0089AA24AF0200000000000AA00J</t>
  </si>
  <si>
    <t>MH0022BA01AA00A0000000000AA00J</t>
  </si>
  <si>
    <t>MH0035BA01AA00A0000000000AA00J</t>
  </si>
  <si>
    <t>MH0073BA01AA0000000000000AA00J</t>
  </si>
  <si>
    <t>MH0022BA01AB00A0000000000AA00J</t>
  </si>
  <si>
    <t>MH0035BA01AB00A0000000000AA00J</t>
  </si>
  <si>
    <t>MH0073BA01AB0000000000000AA00J</t>
  </si>
  <si>
    <t>MH0089BA01AB0000000000000AA00J</t>
  </si>
  <si>
    <t>MH0022BA02AA00A0000000000AA00J</t>
  </si>
  <si>
    <t>MH0035BA02AB00A0000000000AA00J</t>
  </si>
  <si>
    <t>MH0022BA02AC00A0000000000AA00J</t>
  </si>
  <si>
    <t>MH0073FA01AF0200000000000AA00J</t>
  </si>
  <si>
    <t>MH0073FA02AF0200000000000AA00J</t>
  </si>
  <si>
    <t>MH0022FA24AF02A0000000000AA00J</t>
  </si>
  <si>
    <t>MH0035FA24AF02A0000000000AA00J</t>
  </si>
  <si>
    <t>MH0073FA24AF0200000000000AA00J</t>
  </si>
  <si>
    <t>MH0097AA07AB0000000000000AA00J</t>
  </si>
  <si>
    <t>MH0097AA07AC0000000000000AA00J</t>
  </si>
  <si>
    <t>MH0035AA08AA00A0000000000AA00J</t>
  </si>
  <si>
    <t>MH0073AA08AA0000000000000AA00J</t>
  </si>
  <si>
    <t>MH0089AA08AA0000000000000AA00J</t>
  </si>
  <si>
    <t>MH0035BA07AA00A0000000000AA00J</t>
  </si>
  <si>
    <t>MH0097BA07AB0000000000000AA00J</t>
  </si>
  <si>
    <t>MH0059BA07AC0000000000000AA00J</t>
  </si>
  <si>
    <t>MH0059BA08AA0000000000000AA00J</t>
  </si>
  <si>
    <t>MH0097BA08AA0000000000000AA00J</t>
  </si>
  <si>
    <t>MH0073BA08AB0000000000000AA00J</t>
  </si>
  <si>
    <t>MH0073BA02AA0000000000000AA00J</t>
  </si>
  <si>
    <t>MH0113BA01AB0100000000000AA00J</t>
  </si>
  <si>
    <t>MH0045BA01AB00000000000000000J</t>
  </si>
  <si>
    <t>MH0028BN01AB000N000000SS0AD00J</t>
  </si>
  <si>
    <t>MH0059BA18EB0100000000000AA00J</t>
  </si>
  <si>
    <t>MH0045AA24AA0000000000000AA00J</t>
  </si>
  <si>
    <t>MH0028AA24AB0000000000000AA00J</t>
  </si>
  <si>
    <t>MH0097BA01EB0000000000000AA00J</t>
  </si>
  <si>
    <t>MH0179BN01AB000N000000SS0AD00J</t>
  </si>
  <si>
    <t>MH0022BN01AB00AN000000SS0AD00J</t>
  </si>
  <si>
    <t>MH0045BA01EB0100000000000AA00J</t>
  </si>
  <si>
    <t>MH0097AA02AA0000000000AB0AA00J</t>
  </si>
  <si>
    <t>MH0141DD16AB0000000000000AA00J</t>
  </si>
  <si>
    <t>MH0179BA01AB0100000000000AA00J</t>
  </si>
  <si>
    <t>MH0045BA01AB0000030000000AA00J</t>
  </si>
  <si>
    <t>MH0097AA16AB0100000000000AA00J</t>
  </si>
  <si>
    <t>MH0035BA01AA01A0000000000AA00J</t>
  </si>
  <si>
    <t>MH0035BA18EB01A0000000AJ0AA00J</t>
  </si>
  <si>
    <t>MH0059AA01AA0000000000002AA00J</t>
  </si>
  <si>
    <t>MH0035AA02AA01A0000000000AA00J</t>
  </si>
  <si>
    <t>MH0045BA01AA0100000000000AA00J</t>
  </si>
  <si>
    <t>MH0097BA18EB0000070000000AA00J</t>
  </si>
  <si>
    <t>MH0028BA18EB0100070000AJ0AA00J</t>
  </si>
  <si>
    <t>MH0028MA39AF0200000000000AA00J</t>
  </si>
  <si>
    <t>MH0059MA39AF0200000000000AA00J</t>
  </si>
  <si>
    <t>MH0073AA01AB0100000000000AA00J</t>
  </si>
  <si>
    <t>MH0028AA01AA0000040000000AA00J</t>
  </si>
  <si>
    <t>MH0097MA39AF0200000000000AA00J</t>
  </si>
  <si>
    <t>MH0113MA39AF0200000000000AA00J</t>
  </si>
  <si>
    <t>MH0179MA39AF0200000000000AA00J</t>
  </si>
  <si>
    <t>MH0179AA24AF02A0000000000AA00J</t>
  </si>
  <si>
    <t>MH0028AA01AF0000000000000AA00J</t>
  </si>
  <si>
    <t>MH0022MA39AF02A0000000000AA00J</t>
  </si>
  <si>
    <t>MH0035MA39AF02A0000000000AA00J</t>
  </si>
  <si>
    <t>MH0045MA39AF0200000000000AA00J</t>
  </si>
  <si>
    <t>MH0073MA39AF0200000000000AA00J</t>
  </si>
  <si>
    <t>MH0089MA39AF0200000000000AA00J</t>
  </si>
  <si>
    <t>MH0141MA39AF0200000000000AA00J</t>
  </si>
  <si>
    <t>MH0226MA39AF0200000000000AA00J</t>
  </si>
  <si>
    <t>MH0059AA01EB0000000000AB0AA00J</t>
  </si>
  <si>
    <t>MH0089AA01AA0100000000000AA00J</t>
  </si>
  <si>
    <t>MH0028BA01AA00A0000000000AA00J</t>
  </si>
  <si>
    <t>MH0097AA24AA0000000000000AA00J</t>
  </si>
  <si>
    <t>MH0022AA24AA00A0000000000AA00J</t>
  </si>
  <si>
    <t>MH0028AA24AA0000000000000AA00J</t>
  </si>
  <si>
    <t>MH0451BA01AA00A0000000000AA00J</t>
  </si>
  <si>
    <t>MH0059MA49AF0200000000000AA00J</t>
  </si>
  <si>
    <t>MH0097MA49AF0200000000000AA00J</t>
  </si>
  <si>
    <t>MH0097AA01AF0000000000000AA00J</t>
  </si>
  <si>
    <t>MH0113MA49AF0200000000000AA00J</t>
  </si>
  <si>
    <t>MH0179BA08AA0000000000000AA00J</t>
  </si>
  <si>
    <t>MH0028FA24EC0200000000000AA00J</t>
  </si>
  <si>
    <t>MH0179BA01AA000N0000000000000J</t>
  </si>
  <si>
    <t>MH0141AA01AA0100000000000AA00J</t>
  </si>
  <si>
    <t>MH0035DD16AF00A00000000000000J</t>
  </si>
  <si>
    <t>MH0073FA24EC0200000000000AA00J</t>
  </si>
  <si>
    <t>MH0073AA01AA0000000000002AA00J</t>
  </si>
  <si>
    <t>MH0022AN01AA00AN000000SS0AD00J</t>
  </si>
  <si>
    <t>MH0179AA01AA000N0000000000000J</t>
  </si>
  <si>
    <t>MH0226AA24AF02A0000000000AA00J</t>
  </si>
  <si>
    <t>MH0028FA24AF0000000000000AA00J</t>
  </si>
  <si>
    <t>MH0059AA24AA0000000000000AA00J</t>
  </si>
  <si>
    <t>MH0113AA01AA0100000000000AA00J</t>
  </si>
  <si>
    <t>MH0045FA01AD1400000000000AA00J</t>
  </si>
  <si>
    <t>MH0059FA01AD1400000000000AA00J</t>
  </si>
  <si>
    <t>MH0097BA01AF0200000000000AA00J</t>
  </si>
  <si>
    <t>MH0097MA39EC0200000000000AA00J</t>
  </si>
  <si>
    <t>MH0022BA01AA00A0070000000AA00J</t>
  </si>
  <si>
    <t>MH0059TA18AA00A0000000001AA00J</t>
  </si>
  <si>
    <t>MH0028AA16AA0000000000000AA00J</t>
  </si>
  <si>
    <t>MH0097AA24AF0000070000000AA00J</t>
  </si>
  <si>
    <t>MH0097AA02AF0200070000000AA00J</t>
  </si>
  <si>
    <t>MH0179BD28AB0000000000000AA00J</t>
  </si>
  <si>
    <t>MH0022AA01AA00A0070000000AA00J</t>
  </si>
  <si>
    <t>MH0045BA01AA0000070000000AA00J</t>
  </si>
  <si>
    <t>MH0059BA01AA0000070000000AA00J</t>
  </si>
  <si>
    <t>MH0179BA01AA0000070000000AA00J</t>
  </si>
  <si>
    <t>MH0141AA24AF00000000000000000J</t>
  </si>
  <si>
    <t>MH0097BA01AA0000070000000AA00J</t>
  </si>
  <si>
    <t>MH0045AA01AF0000000000000AA00J</t>
  </si>
  <si>
    <t>MH0028BA02AC00A0100000000AA00J</t>
  </si>
  <si>
    <t>MH0113BA01AA0000070000000AA00J</t>
  </si>
  <si>
    <t>MH0141AA01AB0100000000000AA00J</t>
  </si>
  <si>
    <t>MH0073EA02AA0000000000000AA00J</t>
  </si>
  <si>
    <t>MH0022AA24AF00A0000000000AA00J</t>
  </si>
  <si>
    <t>MH0028BA01AA0000070000000AA00J</t>
  </si>
  <si>
    <t>MH0179AA02AF0200070000000AA00J</t>
  </si>
  <si>
    <t>MH0059FA24EC0200070000000AA00J</t>
  </si>
  <si>
    <t>MH0113BD24AF0200000000000AA00J</t>
  </si>
  <si>
    <t>MH0226AA02AA0000000000AB0AA00J</t>
  </si>
  <si>
    <t>MH0097AA02EC0200000000000AA00J</t>
  </si>
  <si>
    <t>MH0113AA02EC0200000000000AA00J</t>
  </si>
  <si>
    <t>MH0028BA01AA0100070000000AA00J</t>
  </si>
  <si>
    <t>MH0028AA01AA0100040000000AA00J</t>
  </si>
  <si>
    <t>MH0226BD01AA0000000000000AA00J</t>
  </si>
  <si>
    <t>MH0045AA24AF02A0000000000AA00J</t>
  </si>
  <si>
    <t>MH0022BA01AA01A0070000000AA00J</t>
  </si>
  <si>
    <t>MH0097MA39AA0000000000000AA00J</t>
  </si>
  <si>
    <t>MH0022MA18AF16AN02AA00000AA00J</t>
  </si>
  <si>
    <t>MH0035AA24AA01A0000000000AA00J</t>
  </si>
  <si>
    <t>MH0028BA01AB00000000000000000J</t>
  </si>
  <si>
    <t>MH0028MA49AF0200000000000AA00J</t>
  </si>
  <si>
    <t>MH0022BA01AC03A0070000000AA00J</t>
  </si>
  <si>
    <t>MH0028MA39AF0200070000000AA00J</t>
  </si>
  <si>
    <t>MH0045MA39AF0200070000000AA00J</t>
  </si>
  <si>
    <t>MH0059MA39AF0200070000000AA00J</t>
  </si>
  <si>
    <t>MH0097MA39AF0200070000000AA00J</t>
  </si>
  <si>
    <t>MH0113MA39AF0200070000000AA00J</t>
  </si>
  <si>
    <t>MH0028MA49AF0200070000000AA00J</t>
  </si>
  <si>
    <t>MH0045MA49AF0200070000000AA00J</t>
  </si>
  <si>
    <t>MH0097MA49AF0200070000000AA00J</t>
  </si>
  <si>
    <t>MH0113MA49AF0200070000000AA00J</t>
  </si>
  <si>
    <t>MH0179MA49AF0200070000000AA00J</t>
  </si>
  <si>
    <t>MH0451AA01AF02A00000000000000J</t>
  </si>
  <si>
    <t>MH0028AA02AB0100000000000AA00J</t>
  </si>
  <si>
    <t>MH0179FA01AA0000000000000AA00J</t>
  </si>
  <si>
    <t>MH0028MA18AF16AN02AA00000AA00J</t>
  </si>
  <si>
    <t>MH0022MA18AF02AN020000000AA00J</t>
  </si>
  <si>
    <t>MH0028MA18AF020N020000000AA00J</t>
  </si>
  <si>
    <t>MH0022AA24AF00A000AA00000AA00J</t>
  </si>
  <si>
    <t>MH0028AA16AA0000000000001AA00J</t>
  </si>
  <si>
    <t>MH0028BA02AC00A0100000ER0AA00J</t>
  </si>
  <si>
    <t>MH0045BA24AA0000000000000AA00J</t>
  </si>
  <si>
    <t>MH0226AA01AA00000000000000000J</t>
  </si>
  <si>
    <t>MH0226AA24AF0200000000AB0AA00J</t>
  </si>
  <si>
    <t>MH0141BD01EB0100070000000AA00J</t>
  </si>
  <si>
    <t>MH0045AA01AA0100040000000AA00J</t>
  </si>
  <si>
    <t>MH0059BA01AA000000AB00000AA00J</t>
  </si>
  <si>
    <t>MH0035FA24AL09A0000000000AA00J</t>
  </si>
  <si>
    <t>MH0045FA24AD0900000000000AA00J</t>
  </si>
  <si>
    <t>MH0028AA24AF02A000AA00000AA00J</t>
  </si>
  <si>
    <t>MH0097AA02AF1000070000000AA00J</t>
  </si>
  <si>
    <t>MH0179BD01AC0000000000000AA00J</t>
  </si>
  <si>
    <t>MH0097AA01AB0100030000000AJ00J</t>
  </si>
  <si>
    <t>MH0097AA01AA0100000000000AJ00J</t>
  </si>
  <si>
    <t>MH0035BA01AA01A0070000000AA00J</t>
  </si>
  <si>
    <t>MH0113AA01AA0400070000000AA00J</t>
  </si>
  <si>
    <t>MH0226AA01AF0000000000000AA00J</t>
  </si>
  <si>
    <t>MH0028DD16AA00000000AF000AA00J</t>
  </si>
  <si>
    <t>MH0028MA39AF0200030000000AA00J</t>
  </si>
  <si>
    <t>MH0073AA01AF0000000000000AA00J</t>
  </si>
  <si>
    <t>MH0141AA01AF0000000000000AA00J</t>
  </si>
  <si>
    <t>MH0045AA01AA0400040000000AA00J</t>
  </si>
  <si>
    <t>MH0113AA24AF0200070000000AA00J</t>
  </si>
  <si>
    <t>MH0113BA01EB0000000000000AA00J</t>
  </si>
  <si>
    <t>MH0045FA24AL9000000000R0J</t>
  </si>
  <si>
    <t>MH0059AA01EB0000000000000AA00J</t>
  </si>
  <si>
    <t>MH0097BD01AA0000070000JM0AA00J</t>
  </si>
  <si>
    <t>MH0022BA01AB00A0000000000AY00J</t>
  </si>
  <si>
    <t>MH0035AA01EC00A0000000000AA00J</t>
  </si>
  <si>
    <t>MH0113AA02AC0000030000000AA00J</t>
  </si>
  <si>
    <t>MH0141AA24AF0200070000000AA00J</t>
  </si>
  <si>
    <t>MH0226BA01AA00A0000000000AA00J</t>
  </si>
  <si>
    <t>MH0073AA01AA0000070000000AA00J</t>
  </si>
  <si>
    <t>MH0022AA02AA00A0070000000AA00J</t>
  </si>
  <si>
    <t>MH0059AA24AF020N070000000AA00J</t>
  </si>
  <si>
    <t>MH0028FA01AF020N070000000AA00J</t>
  </si>
  <si>
    <t>MH0141AA24AF02A0000000000AA00J</t>
  </si>
  <si>
    <t>MH0045AA01EB0100000000000AA00J</t>
  </si>
  <si>
    <t>MH0089AA07EB0100000000000AA00J</t>
  </si>
  <si>
    <t>MH0097BA01AB0000000000000AA00J</t>
  </si>
  <si>
    <t>MH0097AA01AA0000000000000AA00J</t>
  </si>
  <si>
    <t>MH0179BA01AA0000000000000AA00J</t>
  </si>
  <si>
    <t>MH0022BA18EB01A0000000AJ0AA00J</t>
  </si>
  <si>
    <t>MH0089BA07AA0000000000AJ0AA00J</t>
  </si>
  <si>
    <t>MH0073BA01AA0000070000AJ0AA00J</t>
  </si>
  <si>
    <t>MH0226BA01AA0000030000AB0AA00J</t>
  </si>
  <si>
    <t>MH0226BA01AC000N030000000AA00J</t>
  </si>
  <si>
    <t>MH0179BA07AA0000070000000AA00J</t>
  </si>
  <si>
    <t>MH0097BA01AH0100020000AJ0AA00J</t>
  </si>
  <si>
    <t>MH0025FA02AL18A0000000000AA00J</t>
  </si>
  <si>
    <t>MH0089BA01AA0000000000AJ0AA00J</t>
  </si>
  <si>
    <t>MH0113AA01AB000000AA00000AA00J</t>
  </si>
  <si>
    <t>MH0028AA16AF0200000000000AA00J</t>
  </si>
  <si>
    <t>MH0179AA24AF0200070000000AA00J</t>
  </si>
  <si>
    <t>MH0022MA39AF02A0070000000AA00J</t>
  </si>
  <si>
    <t>MH0141BA01AA000000AA00000AA00J</t>
  </si>
  <si>
    <t>MH0141AA24EC0200000000000AA00J</t>
  </si>
  <si>
    <t>MH0028BA18AC0000000000000AA00J</t>
  </si>
  <si>
    <t>MH0097AA01AA0100000000AB0AA00J</t>
  </si>
  <si>
    <t>MH0022FA24AF02A0000000EX0AA00J</t>
  </si>
  <si>
    <t>MH0141FD01EB0100070000000AA00J</t>
  </si>
  <si>
    <t>MH0025AA01EB01A0070000000AA00J</t>
  </si>
  <si>
    <t>MH0097AA01AF0200130000000AA00J</t>
  </si>
  <si>
    <t>MS0046BA01AB0000000000000AA00M</t>
  </si>
  <si>
    <t>MS0057BA01AB0000000000000AA00M</t>
  </si>
  <si>
    <t>MS0101BA01AB0000000000000AA00M</t>
  </si>
  <si>
    <t>MS0114BA01AB0000000000000AA00M</t>
  </si>
  <si>
    <t>MS0137BA01AB0000000000000AA00M</t>
  </si>
  <si>
    <t>MS0182BA01AB0000000000000AA00M</t>
  </si>
  <si>
    <t>MS0227BA01AB0000000000000AA00M</t>
  </si>
  <si>
    <t>MS0046BA01AA0000000000000AA00M</t>
  </si>
  <si>
    <t>MS0057BA01AA0000000000000AA00M</t>
  </si>
  <si>
    <t>MS0101BA01AA0000000000000AA00M</t>
  </si>
  <si>
    <t>MS0114BA01AA0000000000000AA00M</t>
  </si>
  <si>
    <t>MS0137BA01AA0000000000000AA00M</t>
  </si>
  <si>
    <t>MS0227BA01AA0000000000000AA00M</t>
  </si>
  <si>
    <t>MS0046BA01AC0000000000000AA00M</t>
  </si>
  <si>
    <t>MS0101BA01AC0000000000000AA00M</t>
  </si>
  <si>
    <t>MS0137BA01AC0000000000000AA00M</t>
  </si>
  <si>
    <t>MS0227BA01AC0000000000000AA00M</t>
  </si>
  <si>
    <t>MS0046AA01AB0000000000000AA00M</t>
  </si>
  <si>
    <t>MS0057AA01AB0000000000000AA00M</t>
  </si>
  <si>
    <t>MS0101AA01AB0000000000000AA00M</t>
  </si>
  <si>
    <t>MS0114AA01AB0000000000000AA00M</t>
  </si>
  <si>
    <t>MS0137AA01AB0000000000000AA00M</t>
  </si>
  <si>
    <t>MS0182AA01AB0000000000000AA00M</t>
  </si>
  <si>
    <t>MS0227AA01AB0000000000000AA00M</t>
  </si>
  <si>
    <t>MS0046AA01AA0000000000000AA00M</t>
  </si>
  <si>
    <t>MS0057AA01AA0000000000000AA00M</t>
  </si>
  <si>
    <t>MS0101AA01AA0000000000000AA00M</t>
  </si>
  <si>
    <t>MS0114AA01AA0000000000000AA00M</t>
  </si>
  <si>
    <t>MS0137AA01AA0000000000000AA00M</t>
  </si>
  <si>
    <t>MS0182AA01AA0000000000000AA00M</t>
  </si>
  <si>
    <t>MS0227AA01AA0000000000000AA00M</t>
  </si>
  <si>
    <t>MS0101AA01AC0000000000000AA00M</t>
  </si>
  <si>
    <t>MS0137AA01AC0000000000000AA00M</t>
  </si>
  <si>
    <t>MS0227AA01AC0000000000000AA00M</t>
  </si>
  <si>
    <t>MS0046BA02AA0000000000000AA00M</t>
  </si>
  <si>
    <t>MS0101BA02AA0000000000000AA00M</t>
  </si>
  <si>
    <t>MS0057BA02AC0000000000000AA00M</t>
  </si>
  <si>
    <t>MS0101BA02AC0000000000000AA00M</t>
  </si>
  <si>
    <t>MS0057AA02AB0000000000000AA00M</t>
  </si>
  <si>
    <t>MS0114AA02AB0000000000000AA00M</t>
  </si>
  <si>
    <t>MS0137AA02AB0000000000000AA00M</t>
  </si>
  <si>
    <t>MS0227AA02AB0000000000000AA00M</t>
  </si>
  <si>
    <t>MS0057AA02AA0000000000000AA00M</t>
  </si>
  <si>
    <t>MS0114AA02AA0000000000000AA00M</t>
  </si>
  <si>
    <t>MS0137AA02AA0000000000000AA00M</t>
  </si>
  <si>
    <t>MS0182AA02AA0000000000000AA00M</t>
  </si>
  <si>
    <t>MS0227AA02AA0000000000000AA00M</t>
  </si>
  <si>
    <t>MS0114AA02AC0000000000000AA00M</t>
  </si>
  <si>
    <t>MS0227AA02AC0000000000000AA00M</t>
  </si>
  <si>
    <t>MS0046BA07AB0000000000000AA00M</t>
  </si>
  <si>
    <t>MS0057BA01AB0000000000AB0AA00M</t>
  </si>
  <si>
    <t>MS0137BA01AB0000000000AB0AA00M</t>
  </si>
  <si>
    <t>MS0182BA01AA0000000000AB0AA00M</t>
  </si>
  <si>
    <t>MS0182AA01AB0000000000AB0AA00M</t>
  </si>
  <si>
    <t>MS0046AA01AA0000000000AB0AA00M</t>
  </si>
  <si>
    <t>MS0057AA01AA0000000000AB0AA00M</t>
  </si>
  <si>
    <t>MS0114AA01AA0000000000AB0AA00M</t>
  </si>
  <si>
    <t>MS0057AA01AF0200000000000AA00M</t>
  </si>
  <si>
    <t>MS0114AA01AF0200000000000AA00M</t>
  </si>
  <si>
    <t>MS0137AA01AF0200000000000AA00M</t>
  </si>
  <si>
    <t>MS0227AA01AF0200000000000AA00M</t>
  </si>
  <si>
    <t>MS0057AA02AF0200000000000AA00M</t>
  </si>
  <si>
    <t>MS0101AA02AF0200000000000AA00M</t>
  </si>
  <si>
    <t>MS0182AA02AF0200000000000AA00M</t>
  </si>
  <si>
    <t>MS0227AA02AF0200000000000AA00M</t>
  </si>
  <si>
    <t>MS0046AA24AF0200000000000AA00M</t>
  </si>
  <si>
    <t>MS0057AA24AF0200000000000AA00M</t>
  </si>
  <si>
    <t>MS0101AA24AF0200000000000AA00M</t>
  </si>
  <si>
    <t>MS0114AA24AF0200000000000AA00M</t>
  </si>
  <si>
    <t>MS0137AA24AF0200000000000AA00M</t>
  </si>
  <si>
    <t>MS0182AA24AF0200000000000AA00M</t>
  </si>
  <si>
    <t>MS0227AA24AF0200000000000AA00M</t>
  </si>
  <si>
    <t>MS0046FA02AF0200000000000AA00M</t>
  </si>
  <si>
    <t>MS0227AA02AC0000000000AB0AA00M</t>
  </si>
  <si>
    <t>MS0036AA01AA0000000000000AA00M</t>
  </si>
  <si>
    <t>MS0073AA01AA0000000000000AA00M</t>
  </si>
  <si>
    <t>MS0036AA01AB0000000000000AA00M</t>
  </si>
  <si>
    <t>MS0073AA01AB0000000000000AA00M</t>
  </si>
  <si>
    <t>MS0088AA01AB0000000000000AA00M</t>
  </si>
  <si>
    <t>MS0036AA01AC0000000000000AA00M</t>
  </si>
  <si>
    <t>MS0073AA02AA0000000000000AA00M</t>
  </si>
  <si>
    <t>MS0073AA02AB0000000000000AA00M</t>
  </si>
  <si>
    <t>MS0036AA02AF0200000000000AA00M</t>
  </si>
  <si>
    <t>MS0073BA01AA0000000000000AA00M</t>
  </si>
  <si>
    <t>MS0073BA01AB0000000000000AA00M</t>
  </si>
  <si>
    <t>MS0088BA01AB0000000000000AA00M</t>
  </si>
  <si>
    <t>MS0036BA01AC0000000000000AA00M</t>
  </si>
  <si>
    <t>MS0036AA24AF0200000000000AA00M</t>
  </si>
  <si>
    <t>MS0073AA24AF0200000000000AA00M</t>
  </si>
  <si>
    <t>MS0088AA24AF0200000000000AA00M</t>
  </si>
  <si>
    <t>MS0227AA16AA0000000000000AA00M</t>
  </si>
  <si>
    <t>MS0046BA01AB00000000000000000M</t>
  </si>
  <si>
    <t>MS0101BA01AB00000000000000000M</t>
  </si>
  <si>
    <t>MS0057AA24AA0000000000000AA00M</t>
  </si>
  <si>
    <t>MS0073AA01AA0100000000000AA00M</t>
  </si>
  <si>
    <t>MS0036DD16AA0000000000000AA00M</t>
  </si>
  <si>
    <t>MS0227BA08AA00000000000000000M</t>
  </si>
  <si>
    <t>MS0114EA01AA0000000000000AA00M</t>
  </si>
  <si>
    <t>MS0137BA01AB0100000000000AA00M</t>
  </si>
  <si>
    <t>MS0182BA01AB0100000000000AA00M</t>
  </si>
  <si>
    <t>MS0046BA01AA0100000000000AA00M</t>
  </si>
  <si>
    <t>MS0057BA01AA0100000000000AA00M</t>
  </si>
  <si>
    <t>MS0101BA01AA0100000000000AA00M</t>
  </si>
  <si>
    <t>MS0114BA01AA0100000000000AA00M</t>
  </si>
  <si>
    <t>MS0137BA01AA0100000000000AA00M</t>
  </si>
  <si>
    <t>MS0182BA01AA0100000000000AA00M</t>
  </si>
  <si>
    <t>MS0227BA01AA0100000000000AA00M</t>
  </si>
  <si>
    <t>MS0101BA01AC0100000000000AA00M</t>
  </si>
  <si>
    <t>MS0227BA01AC0100000000000AA00M</t>
  </si>
  <si>
    <t>MS0046AA01AB0100000000000AA00M</t>
  </si>
  <si>
    <t>MS0101AA01AB0100000000000AA00M</t>
  </si>
  <si>
    <t>MS0137AA01AB0100000000000AA00M</t>
  </si>
  <si>
    <t>MS0057AA01AA0100000000000AA00M</t>
  </si>
  <si>
    <t>MS0101AA01AA0100000000000AA00M</t>
  </si>
  <si>
    <t>MS0114AA01AA0100000000000AA00M</t>
  </si>
  <si>
    <t>MS0137AA01AA0100000000000AA00M</t>
  </si>
  <si>
    <t>MS0182AA01AA0100000000000AA00M</t>
  </si>
  <si>
    <t>MS0227AA01AA0100000000000AA00M</t>
  </si>
  <si>
    <t>MS0227AA02AB0100000000000AA00M</t>
  </si>
  <si>
    <t>MS0101AA02AA0100000000000AA00M</t>
  </si>
  <si>
    <t>MS0227AA02AA0100000000000AA00M</t>
  </si>
  <si>
    <t>MS0057AA16AC0100000000000AA00M</t>
  </si>
  <si>
    <t>MS0182BA01AB0100000000AB0AA00M</t>
  </si>
  <si>
    <t>MS0101AA02AB0100000000AB0AA00M</t>
  </si>
  <si>
    <t>MS0227AA01AA0100000000AB0AA00M</t>
  </si>
  <si>
    <t>MS0046DD16AF02000000000000000M</t>
  </si>
  <si>
    <t>MS0036DD16AF0200000000000AA00M</t>
  </si>
  <si>
    <t>MS0057AA01AA0000000000002AA00M</t>
  </si>
  <si>
    <t>MS0057MA39AF0200000000000AA00M</t>
  </si>
  <si>
    <t>MS0036MA39AF0200000000000AA00M</t>
  </si>
  <si>
    <t>MS0057BA07AB0000000000000AA00M</t>
  </si>
  <si>
    <t>MS0182AA16AB0000000000000AA00M</t>
  </si>
  <si>
    <t>MS0114AA24AB0000000000000AA00M</t>
  </si>
  <si>
    <t>MS0227AA02AN00000000AHAB0AA00M</t>
  </si>
  <si>
    <t>MS0227AA24AF0000000000002AA00M</t>
  </si>
  <si>
    <t>MS0088AA16AF0200070000000AA00M</t>
  </si>
  <si>
    <t>MS0073AA02AF0000070000AB0AA00M</t>
  </si>
  <si>
    <t>MS0114EA02AA0000000000000AA00M</t>
  </si>
  <si>
    <t>MS0114FA24AF0000000000000AA00M</t>
  </si>
  <si>
    <t>MS0036AA16AA0000000000000AA00M</t>
  </si>
  <si>
    <t>MS0036AA01AB0000030000000AA00M</t>
  </si>
  <si>
    <t>MS0057AA01AA00000000000000000M</t>
  </si>
  <si>
    <t>MS0046AA16AF0200070000000AA00M</t>
  </si>
  <si>
    <t>MS0057AA02AC0100000000000AA00M</t>
  </si>
  <si>
    <t>MS0137AA16AB0000000000000AA00M</t>
  </si>
  <si>
    <t>MS0227AA01AA0100000000002AA00M</t>
  </si>
  <si>
    <t>MS0114AA16AF0200070000000AA00M</t>
  </si>
  <si>
    <t>MS0057BA08AA0000000000000AA00M</t>
  </si>
  <si>
    <t>MS0088AA01AA0100000000000AA00M</t>
  </si>
  <si>
    <t>MS0046BA01AB0000000000000AY00M</t>
  </si>
  <si>
    <t>MS0036BA01AA0000000000000AY00M</t>
  </si>
  <si>
    <t>MS0036BA24AC0000000000000AA00M</t>
  </si>
  <si>
    <t>MS0182BA01AA0000070000000AA00M</t>
  </si>
  <si>
    <t>MS0137AA16AF0200000000000AA00M</t>
  </si>
  <si>
    <t>MS0227BA08AA000N000000000AY00M</t>
  </si>
  <si>
    <t>MS0057BA01AA0000000000000BE00M</t>
  </si>
  <si>
    <t>MS0057BA01AA0000020000000AA00M</t>
  </si>
  <si>
    <t>MT0062BA01AB0000000000000AA00A</t>
  </si>
  <si>
    <t>MT0119BA01AB0000000000000AA00A</t>
  </si>
  <si>
    <t>MT0149BA01AB0000000000000AA00A</t>
  </si>
  <si>
    <t>MT0226BA01AB0000000000000AA00A</t>
  </si>
  <si>
    <t>MT0049BA01AA0000000000000AA00A</t>
  </si>
  <si>
    <t>MT0062BA01AA0000000000000AA00A</t>
  </si>
  <si>
    <t>MT0096BA01AA0000000000000AA00A</t>
  </si>
  <si>
    <t>MT0119BA01AA0000000000000AA00A</t>
  </si>
  <si>
    <t>MT0149BA01AA0000000000000AA00A</t>
  </si>
  <si>
    <t>MT0187BA01AA0000000000000AA00A</t>
  </si>
  <si>
    <t>MT0226BA01AA0000000000000AA00A</t>
  </si>
  <si>
    <t>MT0049BA01AC0000000000000AA00A</t>
  </si>
  <si>
    <t>MT0119BA01AC0000000000000AA00A</t>
  </si>
  <si>
    <t>MT0226BA01AC0000000000000AA00A</t>
  </si>
  <si>
    <t>MT0049AA01AB0000000000000AA00A</t>
  </si>
  <si>
    <t>MT0062AA01AB0000000000000AA00A</t>
  </si>
  <si>
    <t>MT0096AA01AB0000000000000AA00A</t>
  </si>
  <si>
    <t>MT0119AA01AB0000000000000AA00A</t>
  </si>
  <si>
    <t>MT0149AA01AB0000000000000AA00A</t>
  </si>
  <si>
    <t>MT0049AA01AA0000000000000AA00A</t>
  </si>
  <si>
    <t>MT0062AA01AA0000000000000AA00A</t>
  </si>
  <si>
    <t>MT0096AA01AA0000000000000AA00A</t>
  </si>
  <si>
    <t>MT0119AA01AA0000000000000AA00A</t>
  </si>
  <si>
    <t>MT0149AA01AA0000000000000AA00A</t>
  </si>
  <si>
    <t>MT0187AA01AA0000000000000AA00A</t>
  </si>
  <si>
    <t>MT0226AA01AA0000000000000AJ00A</t>
  </si>
  <si>
    <t>MT0049AA01AC0000000000000AA00A</t>
  </si>
  <si>
    <t>MT0226AA01AC0000000000000AA00A</t>
  </si>
  <si>
    <t>MT0049BA02AA0000000000000AA00A</t>
  </si>
  <si>
    <t>MT0149BA02AA0000000000000AA00A</t>
  </si>
  <si>
    <t>MT0119BA02AC0000000000000AA00A</t>
  </si>
  <si>
    <t>MT0187BA02AC0000000000000AA00A</t>
  </si>
  <si>
    <t>MT0096AA02AB0000000000000AA00A</t>
  </si>
  <si>
    <t>MT0062AA02AA0000000000000AA00A</t>
  </si>
  <si>
    <t>MT0119AA02AA0000000000000AA00A</t>
  </si>
  <si>
    <t>MT0187AA02AA0000000000000AA00A</t>
  </si>
  <si>
    <t>MT0226AA02AA0000000000000AA00A</t>
  </si>
  <si>
    <t>MT0119AA02AC0000000000000AA00A</t>
  </si>
  <si>
    <t>MT0149BA01AA0000000000AB0AA00A</t>
  </si>
  <si>
    <t>MT0049AA01AF0200000000000AA00A</t>
  </si>
  <si>
    <t>MT0062AA01AF0200000000000AA00A</t>
  </si>
  <si>
    <t>MT0096AA01AF0200000000000AA00A</t>
  </si>
  <si>
    <t>MT0119AA01AF0200000000000AA00A</t>
  </si>
  <si>
    <t>MT0187AA01AF0200000000000AA00A</t>
  </si>
  <si>
    <t>MT0049AA02AF0200000000000AA00A</t>
  </si>
  <si>
    <t>MT0062AA02AF0200000000000AA00A</t>
  </si>
  <si>
    <t>MT0119AA02AF0200000000000AA00A</t>
  </si>
  <si>
    <t>MT0149AA02AF0200000000000AA00A</t>
  </si>
  <si>
    <t>MT0187AA02AF0200000000000AA00A</t>
  </si>
  <si>
    <t>MT0226AA02AF0200000000000AA00A</t>
  </si>
  <si>
    <t>MT0062AA02AD0200000000000AA00A</t>
  </si>
  <si>
    <t>MT0119AA02AD0200000000000AA00A</t>
  </si>
  <si>
    <t>MT0226AA02AD0200000000000AA00A</t>
  </si>
  <si>
    <t>MT0049AA24AF0200000000000AA00A</t>
  </si>
  <si>
    <t>MT0062AA24AF0200000000000AA00A</t>
  </si>
  <si>
    <t>MT0096AA24AF0200000000000AA00A</t>
  </si>
  <si>
    <t>MT0119AA24AF0200000000000AA00A</t>
  </si>
  <si>
    <t>MT0149AA24AF0200000000000AA00A</t>
  </si>
  <si>
    <t>MT0187AA24AF0200000000000AA00A</t>
  </si>
  <si>
    <t>MT0226AA24AF0200000000000AA00A</t>
  </si>
  <si>
    <t>MT0049AA24AD0200000000000AA00A</t>
  </si>
  <si>
    <t>MT0062AA24AD0200000000000AA00A</t>
  </si>
  <si>
    <t>MT0096AA24AD0200000000000AA00A</t>
  </si>
  <si>
    <t>MT0119AA24AD0200000000000AA00A</t>
  </si>
  <si>
    <t>MT0149AA24AD0200000000000AA00A</t>
  </si>
  <si>
    <t>MT0226AA24AD0200000000000AA00A</t>
  </si>
  <si>
    <t>MT0049FA02AF0200000000000AA00A</t>
  </si>
  <si>
    <t>MT0096FA02AD0200000000000AA00A</t>
  </si>
  <si>
    <t>MT0062FA24AF0200000000000AA00A</t>
  </si>
  <si>
    <t>MT0119FA24AF0200000000000AA00A</t>
  </si>
  <si>
    <t>MT0187FA24AF0200000000000AA00A</t>
  </si>
  <si>
    <t>MT0226FA24AF0200000000000AA00A</t>
  </si>
  <si>
    <t>MT0040AA01AA0000000000000AA00A</t>
  </si>
  <si>
    <t>MT0080AA01AA0000000000000AA00A</t>
  </si>
  <si>
    <t>MT0040AA01AB0000000000000AA00A</t>
  </si>
  <si>
    <t>MT0080AA01AB0000000000000AA00A</t>
  </si>
  <si>
    <t>MT0040AA01AC0000000000000AA00A</t>
  </si>
  <si>
    <t>MT0080AA01AF0200000000000AA00A</t>
  </si>
  <si>
    <t>MT0040AA02AA0000000000000AA00A</t>
  </si>
  <si>
    <t>MT0040AA02AC0000000000000AA00A</t>
  </si>
  <si>
    <t>MT0080AA02AD0200000000000AA00A</t>
  </si>
  <si>
    <t>MT0080AA02AF0200000000000AA00A</t>
  </si>
  <si>
    <t>MT0040AA24AD0200000000000AA00A</t>
  </si>
  <si>
    <t>MT0080AA24AD0200000000000AA00A</t>
  </si>
  <si>
    <t>MT0040BA01AA0000000000000AA00A</t>
  </si>
  <si>
    <t>MT0080BA01AA0000000000000AA00A</t>
  </si>
  <si>
    <t>MT0040AA24AF0200000000000AA00A</t>
  </si>
  <si>
    <t>MT0080AA24AF0200000000000AA00A</t>
  </si>
  <si>
    <t>MT0062AA24AA0000000000000AA00A</t>
  </si>
  <si>
    <t>MT0040AA01AC0100000000000AA00A</t>
  </si>
  <si>
    <t>MT0040AA01AA0100000000000AA00A</t>
  </si>
  <si>
    <t>MT0040BA01AA0100000000000AA00A</t>
  </si>
  <si>
    <t>MT0080AA16AC0100000000000AA00A</t>
  </si>
  <si>
    <t>MT0187EA02AA0000000000000AA00A</t>
  </si>
  <si>
    <t>MT0149AA02AA0000000000AB1AA00A</t>
  </si>
  <si>
    <t>MT0062BA01AB0100000000000AA00A</t>
  </si>
  <si>
    <t>MT0096BA01AB0100000000000AA00A</t>
  </si>
  <si>
    <t>MT0226BA01AB0100000000000AA00A</t>
  </si>
  <si>
    <t>MT0049BA01AA0100000000000AA00A</t>
  </si>
  <si>
    <t>MT0062BA01AA0100000000000AA00A</t>
  </si>
  <si>
    <t>MT0096BA01AA0100000000000AA00A</t>
  </si>
  <si>
    <t>MT0149BA01AA0100000000000AA00A</t>
  </si>
  <si>
    <t>MT0049AA01AA0100000000000AA00A</t>
  </si>
  <si>
    <t>MT0062AA01AA0100000000000AA00A</t>
  </si>
  <si>
    <t>MT0096AA01AA0100000000000AA00A</t>
  </si>
  <si>
    <t>MT0119AA01AA0100000000000AA00A</t>
  </si>
  <si>
    <t>MT0226AA01AA0100000000000AA00A</t>
  </si>
  <si>
    <t>MT0119AA18AA0100000000000AA00A</t>
  </si>
  <si>
    <t>MT0049AA16AC0000000000000AA00A</t>
  </si>
  <si>
    <t>MT0096HA02AF0200000000000AA00A</t>
  </si>
  <si>
    <t>MT0062MA39AF0200000000000AA00A</t>
  </si>
  <si>
    <t>MT0187CA16AB0000060000AB0AN00A</t>
  </si>
  <si>
    <t>MT0226CA16AB0000060000AB0AL00A</t>
  </si>
  <si>
    <t>MT0040AA16AA01000300000000000A</t>
  </si>
  <si>
    <t>MT0149AA01AC0000000000AB0AA00A</t>
  </si>
  <si>
    <t>MT0149AA01AA0000000000AB0AA00A</t>
  </si>
  <si>
    <t>MT0096AA24AF0000000000000AA00A</t>
  </si>
  <si>
    <t>MT0030MA39AF0200000000000AA00A</t>
  </si>
  <si>
    <t>MT0119FA02AF0000000000000AA00A</t>
  </si>
  <si>
    <t>MT0096MA39AF0200000000000AA00A</t>
  </si>
  <si>
    <t>MT0187MA39AF0200000000000AA00A</t>
  </si>
  <si>
    <t>MT0030MA39AF02000000000000000A</t>
  </si>
  <si>
    <t>MT0049MA39AF02000000000000000A</t>
  </si>
  <si>
    <t>MT0062MA39AF02000000000000000A</t>
  </si>
  <si>
    <t>MT0096MA39AF02000000000000000A</t>
  </si>
  <si>
    <t>MT0119MA39AF02000000000000000A</t>
  </si>
  <si>
    <t>MT0149MA39AF02000000000000000A</t>
  </si>
  <si>
    <t>MT0187MA39AF02000000000000000A</t>
  </si>
  <si>
    <t>MT0226MA39AF02000000000000000A</t>
  </si>
  <si>
    <t>MT0030AA02AA0000000000000AA00A</t>
  </si>
  <si>
    <t>MT0062MA49AF0200000000000AA00A</t>
  </si>
  <si>
    <t>MT0096MA49AF0200000000000AA00A</t>
  </si>
  <si>
    <t>MT0119MA49AF0200000000000AA00A</t>
  </si>
  <si>
    <t>MT0030AA01AA0000000000000AA00A</t>
  </si>
  <si>
    <t>MT0049DD16AA0100000000000AA00A</t>
  </si>
  <si>
    <t>MT0022BA02AC0000100000000AA00A</t>
  </si>
  <si>
    <t>MT0119AA01AA1100040000ER0AA00A</t>
  </si>
  <si>
    <t>MT0030AA01AF02000000000000000A</t>
  </si>
  <si>
    <t>MT0049MA39AF0200000000000AA00A</t>
  </si>
  <si>
    <t>MT0187MA49AF0200000000000AA00A</t>
  </si>
  <si>
    <t>MT0030AA24AF0200000000AB0AA00A</t>
  </si>
  <si>
    <t>MT0022AA24AF0200000000AB0AA00A</t>
  </si>
  <si>
    <t>MT0040MA39AF0200000000000AA00A</t>
  </si>
  <si>
    <t>MT0080MA39AF0200000000000AA00A</t>
  </si>
  <si>
    <t>MT0096AA24AF0200000000AB0AA00A</t>
  </si>
  <si>
    <t>MT0030MA39AD0200000000AB0AA00A</t>
  </si>
  <si>
    <t>MT0030MA39AF0200000000AB0AA00A</t>
  </si>
  <si>
    <t>MT0022MA39AF02000000000000000A</t>
  </si>
  <si>
    <t>MT0226MA39AF0200000000000AA00A</t>
  </si>
  <si>
    <t>MT0149MA39AF0200000000000AA00A</t>
  </si>
  <si>
    <t>MT0022MA39AF0200000000000AA00A</t>
  </si>
  <si>
    <t>MT0119MA39AF0200000000000AA00A</t>
  </si>
  <si>
    <t>MT0149AA16AA01000000000000000A</t>
  </si>
  <si>
    <t>MT0022AA01AA0000000000000AA00A</t>
  </si>
  <si>
    <t>MT0030AA24AF0200000000000AA00A</t>
  </si>
  <si>
    <t>MT0080EA24AD0200000000000AA00A</t>
  </si>
  <si>
    <t>MT0149MA39AD02000000000000000A</t>
  </si>
  <si>
    <t>MT0030FA24AF0200000000000AA00A</t>
  </si>
  <si>
    <t>MT0030DD16AA0000000000000AA00A</t>
  </si>
  <si>
    <t>MT0080AA16AC00000000000000000A</t>
  </si>
  <si>
    <t>MT0030AA16AA0000000000000AA00A</t>
  </si>
  <si>
    <t>MT0149EA02AD0200000000000AA00A</t>
  </si>
  <si>
    <t>MT0062FA24AB00000000000000000A</t>
  </si>
  <si>
    <t>MT0096FA24AB000003AA000000000A</t>
  </si>
  <si>
    <t>MT0062AA16AA0100000000000AA00A</t>
  </si>
  <si>
    <t>MT0049MA49AF0200000000000AA00A</t>
  </si>
  <si>
    <t>MT0030AA39AF0200000000AB0AA00A</t>
  </si>
  <si>
    <t>MT0049MA39AF1400000000000AA00A</t>
  </si>
  <si>
    <t>MT0062MA39AF1400000000000AA00A</t>
  </si>
  <si>
    <t>MT0119MA39AF1400000000000AA00A</t>
  </si>
  <si>
    <t>MT0226BA18AA0000000000000AA00A</t>
  </si>
  <si>
    <t>MT0022AA16AF0200000000000AA00A</t>
  </si>
  <si>
    <t>MT0040AA16AF0200000000000AA00A</t>
  </si>
  <si>
    <t>MT0096AA01AA000000AE00000AA00A</t>
  </si>
  <si>
    <t>MT0040AA02AA000000AE00000AA00A</t>
  </si>
  <si>
    <t>MT0030AA02AF0200000000000AA00A</t>
  </si>
  <si>
    <t>MT0022AA24AA00000000000000000A</t>
  </si>
  <si>
    <t>MT0096BA18AA0000000000000AA00A</t>
  </si>
  <si>
    <t>MT0022AA24AF00000000000000000A</t>
  </si>
  <si>
    <t>MT0040FA24AF00000000000000000A</t>
  </si>
  <si>
    <t>MT0096FA24AF00000000000000000A</t>
  </si>
  <si>
    <t>MT0022AA02AA0000000000ER0AA00A</t>
  </si>
  <si>
    <t>MT0119AA01AA000000AE00000AA00A</t>
  </si>
  <si>
    <t>MT0049MA39AF0000070000AB0AA00A</t>
  </si>
  <si>
    <t>MT0096MA39AF0000070000AB0AA00A</t>
  </si>
  <si>
    <t>MT0119MA39AF0000070000AB0AA00A</t>
  </si>
  <si>
    <t>MT0022BA01AA000000AE00000AA00A</t>
  </si>
  <si>
    <t>MT0187AA24AF02A0070000000AA00A</t>
  </si>
  <si>
    <t>MT0119AA24AA0100000000000AA00A</t>
  </si>
  <si>
    <t>MT0149AA24AA0000000000000AA00A</t>
  </si>
  <si>
    <t>MT0022AA01AA0000000000ER0AA00A</t>
  </si>
  <si>
    <t>MT0096AA24AF0200070000000AA00A</t>
  </si>
  <si>
    <t>MT0040DD16AF02A0000000000AA00A</t>
  </si>
  <si>
    <t>MT0049AA01AA000000AE00000AA00A</t>
  </si>
  <si>
    <t>MT0062MA39AF0200000000002AA00A</t>
  </si>
  <si>
    <t>MT0040AA02AA000000AE00ER0AA00A</t>
  </si>
  <si>
    <t>MT0226AA24AD0200070000000AA00A</t>
  </si>
  <si>
    <t>MT0080MA39AF0000070000000AA00A</t>
  </si>
  <si>
    <t>MT0226MA39AF02000700000000000A</t>
  </si>
  <si>
    <t>MT0030MA39AF0200070000000AA00A</t>
  </si>
  <si>
    <t>MT0049MA39AF0200070000000AA00A</t>
  </si>
  <si>
    <t>MT0062MA39AF0200070000000AA00A</t>
  </si>
  <si>
    <t>MT0080MA39AF0200070000000AA00A</t>
  </si>
  <si>
    <t>MT0096MA39AF0200070000000AA00A</t>
  </si>
  <si>
    <t>MT0062MA49AF0200070000000AA00A</t>
  </si>
  <si>
    <t>MT0096MA49AF0200070000000AA00A</t>
  </si>
  <si>
    <t>MT0187MA39AD0200000000000AA00A</t>
  </si>
  <si>
    <t>MT0062AA28AA0000000000000AA00A</t>
  </si>
  <si>
    <t>MT0080DD16AC0000000000000AA00A</t>
  </si>
  <si>
    <t>MT0036AA39AF1400000000000AA00A</t>
  </si>
  <si>
    <t>MT0022BA01AA0100000000000AA00A</t>
  </si>
  <si>
    <t>MT0030AA24AA0000000000000AA00A</t>
  </si>
  <si>
    <t>MT0080AA24AA0000000000000AA00A</t>
  </si>
  <si>
    <t>MT0226AA01AC0100000000000AA00A</t>
  </si>
  <si>
    <t>MT0096AA02AF1000070000000AA00A</t>
  </si>
  <si>
    <t>MT0062MA39AF0200000000AB0AA00A</t>
  </si>
  <si>
    <t>MT0030AA02AD0200000000000AA00A</t>
  </si>
  <si>
    <t>MT0030FA02AD0000000000000AA00A</t>
  </si>
  <si>
    <t>MT0226EA24AF0200000000000AA00A</t>
  </si>
  <si>
    <t>MT0040MA39AF0200070000000AA00A</t>
  </si>
  <si>
    <t>MT0096AA24AA0000000000000AA00A</t>
  </si>
  <si>
    <t>MT0119CA16AB0000060000GS0AM00A</t>
  </si>
  <si>
    <t>MT0119AA24AF0000000000000AA00A</t>
  </si>
  <si>
    <t>MT0119BA18AA0100000000000AA00A</t>
  </si>
  <si>
    <t>MT0080MA02AF0200000000AB0AA00A</t>
  </si>
  <si>
    <t>MT0030AA24AF140N000000000AA00A</t>
  </si>
  <si>
    <t>MT0030AA16AA000000AE00ER0AA00A</t>
  </si>
  <si>
    <t>MT0119AA24AF140N000000000AA00A</t>
  </si>
  <si>
    <t>MT0096AA24AF140N000000000AA00A</t>
  </si>
  <si>
    <t>MT0119DD16AC0300000000000AA00A</t>
  </si>
  <si>
    <t>MT0080AA02AF1000070000000AA00A</t>
  </si>
  <si>
    <t>MT0187AA24AF140N000000000AA00A</t>
  </si>
  <si>
    <t>MT0049AA24AF140N000000000AA00A</t>
  </si>
  <si>
    <t>MT0062AA24AF0200070000000AA00A</t>
  </si>
  <si>
    <t>MT0062AA02AA000000AE00ER0AA00A</t>
  </si>
  <si>
    <t>MT0062BD24AD1000070000000AA00A</t>
  </si>
  <si>
    <t>MT0040DD01AA01000000000000000A</t>
  </si>
  <si>
    <t>MT0030FA24AD0300000000000AA00A</t>
  </si>
  <si>
    <t>MT0119FA24AF00000000000000000A</t>
  </si>
  <si>
    <t>MT0022MA39AF0200070000000AA00A</t>
  </si>
  <si>
    <t>MT0049BD02AD1000070000000AA00A</t>
  </si>
  <si>
    <t>MT0062EA02AF1000070000000AA00A</t>
  </si>
  <si>
    <t>MT0049EA24AF0200000000000AA00A</t>
  </si>
  <si>
    <t>MT0030MA39AF10000700000000000A</t>
  </si>
  <si>
    <t>MT0062MA39AF10000700000000000A</t>
  </si>
  <si>
    <t>MT0080MA39AF10000700000000000A</t>
  </si>
  <si>
    <t>MT0080MA02AF10000700000000000A</t>
  </si>
  <si>
    <t>MT0096MA39AF10000700000000000A</t>
  </si>
  <si>
    <t>MT0187MA39AF10000700000000000A</t>
  </si>
  <si>
    <t>MT0049AA24AA0000000000000AA00A</t>
  </si>
  <si>
    <t>MT0096MA49AF0200070000AB0AA00A</t>
  </si>
  <si>
    <t>MT0049AA02AD1400070000000AA00A</t>
  </si>
  <si>
    <t>MT0119AA24AF00000000000000000A</t>
  </si>
  <si>
    <t>MT0080MA39AF020N070000000AA00A</t>
  </si>
  <si>
    <t>MT0096MA39AF020N070000000AA00A</t>
  </si>
  <si>
    <t>MT0062BA01AB000N070000000AA00A</t>
  </si>
  <si>
    <t>MT0080DD16AA0100000000AB0AA00A</t>
  </si>
  <si>
    <t>MT0049BA01AA0000070000000AA00A</t>
  </si>
  <si>
    <t>MT0149AA02AC0100000000000AA00A</t>
  </si>
  <si>
    <t>MT0096AA01AA000000AA00000AA00A</t>
  </si>
  <si>
    <t>MT0096MA39AF1400070000002AA00A</t>
  </si>
  <si>
    <t>MT0049MA39AF1400070000002AA00A</t>
  </si>
  <si>
    <t>MT0062MA39AF0200070000000AF00A</t>
  </si>
  <si>
    <t>MT0030FA24AF0200070000000AF00A</t>
  </si>
  <si>
    <t>MT0062BA02AA0100000000000AA00A</t>
  </si>
  <si>
    <t>MT0049AA01AC000N0000000000000A</t>
  </si>
  <si>
    <t>MT0149AA02AA0000000000AB0AA00A</t>
  </si>
  <si>
    <t>MT0022DD16AF0200000000000AA00A</t>
  </si>
  <si>
    <t>MT0119AA24AF0200070000000AA00A</t>
  </si>
  <si>
    <t>MT0022AA02AA0000000000000AA00A</t>
  </si>
  <si>
    <t>MT0030MA39AF1400070000002AA00A</t>
  </si>
  <si>
    <t>MT0030AA01AA000000AA00000AA00A</t>
  </si>
  <si>
    <t>MT0096AA02AD0000000000002AA00A</t>
  </si>
  <si>
    <t>MT0149BA02AC0100000000000AA00A</t>
  </si>
  <si>
    <t>MT0096AA02AK0000000000AB8AA00A</t>
  </si>
  <si>
    <t>MT0018BA01AA0100110000000AA00A</t>
  </si>
  <si>
    <t>MT0030BA01AA0100070000000AA00A</t>
  </si>
  <si>
    <t>MT0080BA01AA0000030000000AA00A</t>
  </si>
  <si>
    <t>MT0022BA01AA0000070000000AA00A</t>
  </si>
  <si>
    <t>MT0030BA01AA0000000000000AA00A</t>
  </si>
  <si>
    <t>MT0022AA01AA000000AE00000AA00A</t>
  </si>
  <si>
    <t>MT0226AA01AA0000000000000AA00A</t>
  </si>
  <si>
    <t>MT0119AA11AA0000000000AB0AA00A</t>
  </si>
  <si>
    <t>MT0018BA01AA0100070000000AA00A</t>
  </si>
  <si>
    <t>MT0022BA01AA0100070000000AA00A</t>
  </si>
  <si>
    <t>MT0226AA24AF140N000000000AY00A</t>
  </si>
  <si>
    <t>MT0062MA02AF10000700000000000A</t>
  </si>
  <si>
    <t>MT0062AAA6AA1000000000JM0AA00A</t>
  </si>
  <si>
    <t>MT0030MA39AF0200070000AB0AA00A</t>
  </si>
  <si>
    <t>MT0049AA24AF0200000000EX0AA00A</t>
  </si>
  <si>
    <t>MT0049MA39AF0200000000002AA00A</t>
  </si>
  <si>
    <t>MT0062MA24AF0200100000AB0AA00A</t>
  </si>
  <si>
    <t>MT0022AA24AF0000000000000AA00A</t>
  </si>
  <si>
    <t>MT0062BA24AF02A0000000TG0AA00A</t>
  </si>
  <si>
    <t>MT0030MA39AF0200000000EX0AA00A</t>
  </si>
  <si>
    <t>MT0062MA39AF1400030000000AA00A</t>
  </si>
  <si>
    <t>MT0022MA39AF020007AT00000AF00A</t>
  </si>
  <si>
    <t>MT0096HA24AF0000100000AB0AA00A</t>
  </si>
  <si>
    <t>MT0119HA24AF0000100000AB0AA00A</t>
  </si>
  <si>
    <t>MT0022FA24AF0200000000TG00000A</t>
  </si>
  <si>
    <t>MT0022FA24AF0200000000EX00000A</t>
  </si>
  <si>
    <t>MT0030MA24AF0000000000000AA00A</t>
  </si>
  <si>
    <t>MT0049MA24AF0000000000000AA00A</t>
  </si>
  <si>
    <t>MT0049AA02AA10000700000000000A</t>
  </si>
  <si>
    <t>MT0119AA01AF0000070000000AA00A</t>
  </si>
  <si>
    <t>MT0022MA39AF0200000000AB0AA00A</t>
  </si>
  <si>
    <t>MT0119EA02AA0000000000AB0AS00A</t>
  </si>
  <si>
    <t>MTB022AA01AA00A0000000000AA00B</t>
  </si>
  <si>
    <t>MTB149AA01AA00A0000000000AA00B</t>
  </si>
  <si>
    <t>MTB187AA01AA00A0000000000AA00B</t>
  </si>
  <si>
    <t>MTB226AA01AA00A0000000000AA00B</t>
  </si>
  <si>
    <t>MTB049AA01AC00A0000000000AA00B</t>
  </si>
  <si>
    <t>MTB080AA01AC00A0000000000AA00B</t>
  </si>
  <si>
    <t>MTB096AA01AC00A0000000000AA00B</t>
  </si>
  <si>
    <t>MTB226AA01AC00A0000000000AA00B</t>
  </si>
  <si>
    <t>MTB149AA02AA00A0000000000AA00B</t>
  </si>
  <si>
    <t>MTB226AA02AA00A0000000000AA00B</t>
  </si>
  <si>
    <t>MTB062AA02AC00A0000000000AA00B</t>
  </si>
  <si>
    <t>MTB187AA16AA00A0000000000AA00B</t>
  </si>
  <si>
    <t>MTB226BA01AA00A0000000000AA00B</t>
  </si>
  <si>
    <t>MTB080BA02AA00A0000000000AA00B</t>
  </si>
  <si>
    <t>MTB062DA02AC00A0000000000AA00B</t>
  </si>
  <si>
    <t>MTB226AA01AC00A0000000AB0AA00B</t>
  </si>
  <si>
    <t>MTB226AA02AC00A0000000AB0AA00B</t>
  </si>
  <si>
    <t>MTB030AA24AE00C0000000000AA00B</t>
  </si>
  <si>
    <t>MTB096AA24AE00A0000000000AA00B</t>
  </si>
  <si>
    <t>MTB187AA24AE00A0000000000AA00B</t>
  </si>
  <si>
    <t>MTB119MA39AE00A0000000000AA00B</t>
  </si>
  <si>
    <t>MTB030DA16AE00C0000000000AA00B</t>
  </si>
  <si>
    <t>MTB119AA01AE00A0000000000AR00B</t>
  </si>
  <si>
    <t>MTB096FA18AC00A0000000000AA00B</t>
  </si>
  <si>
    <t>MTB096AA24AD00A0070000000AA00B</t>
  </si>
  <si>
    <t>MTB187MA24AE00A0000000000AA00B</t>
  </si>
  <si>
    <t>ADRA72A45AAA00010000AAAAA3AAA10B</t>
  </si>
  <si>
    <t>ADRA72A54AAA00010000AAAAA3AAA10B</t>
  </si>
  <si>
    <t>ADRA31A59AEA00010000AABAA1AAA10B</t>
  </si>
  <si>
    <t>ADRA61A64BEA00010000AABAA1AAA10B</t>
  </si>
  <si>
    <t>ADRA21A51AEA00010000AABAA3AAA10B</t>
  </si>
  <si>
    <t>ADRA21A48AEA00080030AABAA1AAA10B</t>
  </si>
  <si>
    <t>ADRA32B59AAA00010000AAAAA3AAA10B</t>
  </si>
  <si>
    <t>ADRA31A59AEA00070017AABAA1AAA10B</t>
  </si>
  <si>
    <t>ADRA21A51AEA00020000AABAA3AAA10B</t>
  </si>
  <si>
    <t>ADRA51A51EEA00102437BALBA2AAA10B</t>
  </si>
  <si>
    <t>ADRA31A61ACA00080031CAAAA3AAA10B</t>
  </si>
  <si>
    <t>ADRA31A57ADA00010000AABAA3AAA10B</t>
  </si>
  <si>
    <t>ADRA21A54AEA00080031CAFDA1AAF10B</t>
  </si>
  <si>
    <t>ADRV63A59BED00189239CAMBA3AAA10B</t>
  </si>
  <si>
    <t>ADRA21A43AEA00191500AAKBA3AAA10B</t>
  </si>
  <si>
    <t>ADRA61A64BEA00102938AAKBA3AAA10B</t>
  </si>
  <si>
    <t>ADRA51A52CEA00020000AABAA3AAA10B</t>
  </si>
  <si>
    <t>ADRA72A48AAB00050000AAAAA3AAA10B</t>
  </si>
  <si>
    <t>ADRA31A61AEA00080043CAFAA1AAA10B</t>
  </si>
  <si>
    <t>ADRA21A54AEA00111900AACAA3AAA10B</t>
  </si>
  <si>
    <t>ADRA31A59AEA00080043CAFAA1AAA10B</t>
  </si>
  <si>
    <t>ADRA31A64AEA00104049AAKBA3AAA10B</t>
  </si>
  <si>
    <t>ADRA31A59AEA00102939AAKBA3AAA10B</t>
  </si>
  <si>
    <t>ADRA51A50EEA00070047CAFAA3AAA10B</t>
  </si>
  <si>
    <t>ADRA51A50EEA00103947CAMBA3AAA10B</t>
  </si>
  <si>
    <t>ADRA51A45EEA00104048CAMBA3AAA10B</t>
  </si>
  <si>
    <t>ADRA21A45AEA00103447CAMBA3AAA10B</t>
  </si>
  <si>
    <t>ADRB31A12AEA00103543AAKBA3AAA10B</t>
  </si>
  <si>
    <t>ACKSJ1DN0220000000000G</t>
  </si>
  <si>
    <t>ACKSJ1AJ0220000000000G</t>
  </si>
  <si>
    <t>ACKSJ1DN0580000000000G</t>
  </si>
  <si>
    <t>ACKSJ1AJ0580000000000G</t>
  </si>
  <si>
    <t>ACKSJ1AJ2980000000000G</t>
  </si>
  <si>
    <t>ACKSJ1AJ0581A045T0100G</t>
  </si>
  <si>
    <t>ACKSJ1AJ2981A045T0100G</t>
  </si>
  <si>
    <t>ACKSJ1AJ1780000000000G</t>
  </si>
  <si>
    <t>ACKSJ1AJ0780000000000G</t>
  </si>
  <si>
    <t>ACKAA1AH0240000000000E</t>
  </si>
  <si>
    <t>ACKSJ1EJ0220000000000G</t>
  </si>
  <si>
    <t>ACKSJ1AJ2731A045T0100G</t>
  </si>
  <si>
    <t>ACKSJ1AJ0991A045T0100G</t>
  </si>
  <si>
    <t>ACKAD1JF0210000000000F</t>
  </si>
  <si>
    <t>ACKAB1GE0210000000000F</t>
  </si>
  <si>
    <t>ACKSJ1UZ2730000000000G</t>
  </si>
  <si>
    <t>ACKSJ1EJ02200000000HAG</t>
  </si>
  <si>
    <t>ACKSH1FM0290000000000G</t>
  </si>
  <si>
    <t>ACKSJ1MJ09921504V1100G</t>
  </si>
  <si>
    <t>ACKMN1CL0580000000000G</t>
  </si>
  <si>
    <t>ACKTJ2AJAAC0000000000B</t>
  </si>
  <si>
    <t>ACKTJ2AJAAF0000000000B</t>
  </si>
  <si>
    <t xml:space="preserve">STEERING WHEEL  </t>
  </si>
  <si>
    <t>ABU15A430AA010000BAAC3A0AA10B</t>
  </si>
  <si>
    <t>ABU15A450AA010000BAAC3A0AA10B</t>
  </si>
  <si>
    <t>ABU35A450AA010000DAAC3A0AA10B</t>
  </si>
  <si>
    <t>ABU35A480AA010000DAAC3A0AA10B</t>
  </si>
  <si>
    <t>ABU35A510AA010000DAAC3A0AA10B</t>
  </si>
  <si>
    <t>ABU35A520AA010000DAAC3A0AA10B</t>
  </si>
  <si>
    <t>ABU35A540AA010000DAAC3A0AA10B</t>
  </si>
  <si>
    <t>ABU35A480AA010000HAAG3A0AA10B</t>
  </si>
  <si>
    <t>ABU35A500AA010000DAAC3A0AA10B</t>
  </si>
  <si>
    <t>ABU35A570AA010000DAAC3A0AA10B</t>
  </si>
  <si>
    <t>ABU55A640AA010000DAAC3A0AB20B</t>
  </si>
  <si>
    <t>ABU55A570AA010000DAAC3A0AB10B</t>
  </si>
  <si>
    <t>ABU55A590AA010000DAAC3A0AB10B</t>
  </si>
  <si>
    <t>ABU55A610AA010000DAAC3A0AB10B</t>
  </si>
  <si>
    <t>ABU55A660AA010000DAAC3A0AB10B</t>
  </si>
  <si>
    <t>ABU35A430CA010000DAAC3A0AA10B</t>
  </si>
  <si>
    <t>ABU35A450CA010000DAAC3A0AA10B</t>
  </si>
  <si>
    <t>ABU35A480CA010000DAAC3A0AA10B</t>
  </si>
  <si>
    <t>ABU35A510CA010000DAAC3A0AA10B</t>
  </si>
  <si>
    <t>ABU35A540CA010000DAAC3A0AA10B</t>
  </si>
  <si>
    <t>ABU55A590CA010000DAAC3A0AA10B</t>
  </si>
  <si>
    <t>ABU55A610CA010000DAAC3A0AA10B</t>
  </si>
  <si>
    <t>ABU55A660CA010000DAAC3A0AA10B</t>
  </si>
  <si>
    <t>ABU35A570CA010000DAAC3A0AA10B</t>
  </si>
  <si>
    <t>ABU55A640CA010000DAAC3A0AA10B</t>
  </si>
  <si>
    <t>ABU35A510CA010000DAAC3A0AS10B</t>
  </si>
  <si>
    <t>ABU35B480CA010000DAAC1A0AA10B</t>
  </si>
  <si>
    <t>ABU35A450EA010000DACC3A0AA10B</t>
  </si>
  <si>
    <t>ABU35A520EA010000DACC3A0AA10B</t>
  </si>
  <si>
    <t>ABU35A540EA010000DACC3A0AA10B</t>
  </si>
  <si>
    <t>ABU55A590EA010000DACC3A0AA10B</t>
  </si>
  <si>
    <t>ABU55A610EA010000DACC3A0AA10B</t>
  </si>
  <si>
    <t>ABU55A640EA010000DACC3A0AA10B</t>
  </si>
  <si>
    <t>ABU55A570EA010000DACC3A0AA10B</t>
  </si>
  <si>
    <t>ABU35A450FA010000DACC2A0AA10B</t>
  </si>
  <si>
    <t>ABU35A570FA010000DACC2A0AA10B</t>
  </si>
  <si>
    <t>ABU35A540FA010000DACC2A0AA10B</t>
  </si>
  <si>
    <t>ABU55A590FA010000DACC2A0AA10B</t>
  </si>
  <si>
    <t>ABPA4A10A001A1A00A1B</t>
  </si>
  <si>
    <t>ABPA4A17A001A1A00A1B</t>
  </si>
  <si>
    <t>ABPA4A17A101A1A00A1B</t>
  </si>
  <si>
    <t>ABPA4A08C101A1A00A1B</t>
  </si>
  <si>
    <t>ABPD4C58D101A1A00A1B</t>
  </si>
  <si>
    <t>ABPA4A66C001A1A00A1B</t>
  </si>
  <si>
    <t>ABPA4A60C001A1A00A1B</t>
  </si>
  <si>
    <t>ABPC4D66D101A1A00A1B</t>
  </si>
  <si>
    <t>ACC66A541FA10007VDADN1A1AA10C</t>
  </si>
  <si>
    <t>ACC66A571FA10007VDADN1A1AA10C</t>
  </si>
  <si>
    <t>ACCA6A691FE21008WDACN1A1AA10C</t>
  </si>
  <si>
    <t>ACC66A591FJ21007BDACN3A1AA10C</t>
  </si>
  <si>
    <t>ACCA6A661FE21008WDACN1A1AA10C</t>
  </si>
  <si>
    <t>ACC66A611FA415G7BDADN1A1AA10C</t>
  </si>
  <si>
    <t>ACCA6A691FA21007MDACN1A1AA10C</t>
  </si>
  <si>
    <t>ACCA6A691FA21007TRACN3A1AA10C</t>
  </si>
  <si>
    <t>ACCA6A641FE210089RACN1A1AA10C</t>
  </si>
  <si>
    <t>ACCA6A641FA415Y7TDADN1A1AA10C</t>
  </si>
  <si>
    <t>ACCA6A691FA415Y7TDADN1A1AA10C</t>
  </si>
  <si>
    <t>ACC66A611FA240076DACN3A1AA10C</t>
  </si>
  <si>
    <t>ACC66A591FA21007TAABN1A1AA10C</t>
  </si>
  <si>
    <t>ACCA6A641FA21007TAABN1A1AA10C</t>
  </si>
  <si>
    <t>ACC66A611FA210092SAFN1A1DE10C</t>
  </si>
  <si>
    <t>ACCA6A691FA21008RRACN3A1AA10C</t>
  </si>
  <si>
    <t>ACCA6A641FA21007BDACN1A1AA10C</t>
  </si>
  <si>
    <t>ACCA6A661FA21007BDACN1A1AA10C</t>
  </si>
  <si>
    <t>ACCA6A691FA21007BDACN1A1AA10C</t>
  </si>
  <si>
    <t>ACC66A571FA10007VSBFN1A1AA10C</t>
  </si>
  <si>
    <t>ACCA6A611FA210089SBFN1A1AA10C</t>
  </si>
  <si>
    <t>ACCA6A611FA21007TAABN1A1AA10C</t>
  </si>
  <si>
    <t>ACCA6A641FA21009CDACN1A1AA10C</t>
  </si>
  <si>
    <t>ACCA6A641FA21008RAABN3A1AA10C</t>
  </si>
  <si>
    <t>ACCA6A641FA21007TAABN5A1AA10C</t>
  </si>
  <si>
    <t>ACCA6A691FA21009CDACN1A1AA10C</t>
  </si>
  <si>
    <t>ACCA6A591FA21009CDACN1A1AA10C</t>
  </si>
  <si>
    <t>ACC76A640FA210092SAFN1A1DE10C</t>
  </si>
  <si>
    <t>ACC76A660FA210092SAFN1A1DE10C</t>
  </si>
  <si>
    <t>ACC76A690FA21006JRACN3A1AA10C</t>
  </si>
  <si>
    <t xml:space="preserve">S-20 SCU  </t>
  </si>
  <si>
    <t>ABT14A430AA010000BAAC2A0AA10B</t>
  </si>
  <si>
    <t>ABT24A450AA051300BAAC3A0AA10B</t>
  </si>
  <si>
    <t>ABT34A480AA052W00BAAC3A0AA10B</t>
  </si>
  <si>
    <t>ABT14A430BA010000BAKC2A0AA10B</t>
  </si>
  <si>
    <t>ABT14A480BA010000BAKC2A0AA10B</t>
  </si>
  <si>
    <t>ABT34A430FA052K00BADC2A0AA10B</t>
  </si>
  <si>
    <t>SCU 241-5037-002 + 204-1149-006</t>
  </si>
  <si>
    <t>ABW76A620AA000000EAAA3A0AA10D</t>
  </si>
  <si>
    <t>ABW76A670AA000000EAAA3A0AA10D</t>
  </si>
  <si>
    <t>ABW76A690AA000000EAAA3A0AA10D</t>
  </si>
  <si>
    <t>ABW76A710AA000000EAAA3A0AA10D</t>
  </si>
  <si>
    <t>ABW76A690AA000000EAAA3A0AA30D</t>
  </si>
  <si>
    <t>ABW76B670AA210070EAAA3A0AA10D</t>
  </si>
  <si>
    <t>ABW76A650CA000000EAAA3A0AA10D</t>
  </si>
  <si>
    <t>ABW76A670CA000000EAAA3A0AA10D</t>
  </si>
  <si>
    <t>ABW76A690CA000000EAAA3A0AA10D</t>
  </si>
  <si>
    <t>ABW76A710CA000000EAAA3A0AA10D</t>
  </si>
  <si>
    <t>ABW76A690CA000000EAGA3A0AR10D</t>
  </si>
  <si>
    <t>ABW76A670FA000000EAGA3A0AA10D</t>
  </si>
  <si>
    <t>ABW76A690FA000000EAGA3A0AA10D</t>
  </si>
  <si>
    <t>ABW76A690FA020000EAGA3A1AA10D</t>
  </si>
  <si>
    <t>ABW76A690FA21007HEAGA3A0AA10D</t>
  </si>
  <si>
    <t>ABW86A691FA210070EAGN3A0AA10D</t>
  </si>
  <si>
    <t>ABW76A690FA020000NBDN3A1AA10D</t>
  </si>
  <si>
    <t>ABW86A691FE000000EAGA3A0AA10D</t>
  </si>
  <si>
    <t>ABW86A671FD210070EAGA3A1AA10D</t>
  </si>
  <si>
    <t>ABW86A651FD210070EAGA3A1AA10D</t>
  </si>
  <si>
    <t>ABW86A651FA21007HEAGA3A0AA10D</t>
  </si>
  <si>
    <t>ABW86A711FD210070EAGN3A1AA10D</t>
  </si>
  <si>
    <t>ABW86A711FA21006FNBDN3A0AA10D</t>
  </si>
  <si>
    <t>ABW86A711FD21008LEAGN3A1AA10D</t>
  </si>
  <si>
    <t>ABW86A711PA210083EAGA3A1AA10D</t>
  </si>
  <si>
    <t>ABW86A711FD21007HEAGA3A1AA10D</t>
  </si>
  <si>
    <t>ABW86A691PA210083EAGA3A1AA10D</t>
  </si>
  <si>
    <t>ABWE6A741FD21007HEAGA3A1AA10D</t>
  </si>
  <si>
    <t>ABW86A711HD210095EAGN3A1AA10D</t>
  </si>
  <si>
    <t>ABW86A741HD210095EAGN3A1AA10D</t>
  </si>
  <si>
    <t>ABV35B570AA064N00DAAC3A0AA10B</t>
  </si>
  <si>
    <t>ABV35A510AA063800FAAK3A0AA10B</t>
  </si>
  <si>
    <t>ABV15A360AA12254CAAAK3A0AA10B</t>
  </si>
  <si>
    <t>ABV55A640CA10007BAAAK3A0AA10B</t>
  </si>
  <si>
    <t>ABV56A660CA010000DAAC3A0AA10B</t>
  </si>
  <si>
    <t>ABV45A484CA10004CDAAC2A0AA10B</t>
  </si>
  <si>
    <t>ABV55A610EA09004ZDACC3A0AA10B</t>
  </si>
  <si>
    <t>ABV56B610GA010000DACC2A0AA10B</t>
  </si>
  <si>
    <t>ABV66A643FE09007BDACC2A0AA10B</t>
  </si>
  <si>
    <t>ABV45A502FA135C7BAANN2A0AA10B</t>
  </si>
  <si>
    <t>ABV65A641FA09007MAABK6A0AD10B</t>
  </si>
  <si>
    <t>ABV35A430FA10007BAABK2A0AA10B</t>
  </si>
  <si>
    <t>ABV35A520FA10007BAABK2A0AA10B</t>
  </si>
  <si>
    <t>ABV35A520FA10007BFAFK2A0AA10B</t>
  </si>
  <si>
    <t>ABV35A450FA135G7BAAYK3A2AA00B</t>
  </si>
  <si>
    <t>ABV55A590FA10006JAABK2A0CH10B</t>
  </si>
  <si>
    <t>ABV55A590FA10006JAABK2A0AA10B</t>
  </si>
  <si>
    <t>SCU 261-1192-082 + 204-1208-007</t>
  </si>
  <si>
    <t>STEERING CONTROL UNIT WITH BOLT ON PRIORITY VALV</t>
  </si>
  <si>
    <t>ABY86B740AA000000GAAA3A0AA00C</t>
  </si>
  <si>
    <t>ABY86B780AA000000GAAA3A0AA00B</t>
  </si>
  <si>
    <t>ABY86B740DA000000GAAA3A0AA00C</t>
  </si>
  <si>
    <t>ABY86B800DA000000GAAA3A0AA00C</t>
  </si>
  <si>
    <t>ABY86B740CA000000GAAA3A0AA00C</t>
  </si>
  <si>
    <t>ABY86B800CA000000GAAA3A0AA00C</t>
  </si>
  <si>
    <t>ABY86B740DA000000GAAA3A0AE00C</t>
  </si>
  <si>
    <t>ABY86B740DA000000GAAA3A0AEC0C</t>
  </si>
  <si>
    <t>ABY86B800FA000000GAGA3A0AA00C</t>
  </si>
  <si>
    <t>ABY86B740FA000000GAGL3A0AA00C</t>
  </si>
  <si>
    <t>ABRBCA430AA010000BAAN3A0AA10DC</t>
  </si>
  <si>
    <t>ABRBCA480AA010000BAAN3A0AA10DC</t>
  </si>
  <si>
    <t>ABR1CA390AA010000BAAN3A0AA10DC</t>
  </si>
  <si>
    <t>ABRBCA460AA062T00VAAH3A0AA10AC</t>
  </si>
  <si>
    <t>ABR13A370AA010000BAAH3A0HV10DC</t>
  </si>
  <si>
    <t>ABR12A390AA051800BAAH3A0AA10DC</t>
  </si>
  <si>
    <t>ABRBCB430AA123W68VAAH3A0AA10AC</t>
  </si>
  <si>
    <t>ABR13A430BB010000BAKH3A0AA10DC</t>
  </si>
  <si>
    <t>ABRBCA430BA052G00BAKN3A0AA10DC</t>
  </si>
  <si>
    <t>ABR1CA390BA010000BAKN3A0AA10DC</t>
  </si>
  <si>
    <t>ABRBCA430BB010000BAKH3A0AA10DC</t>
  </si>
  <si>
    <t>ABR1CA430BA010000BAKN1A0AA10DC</t>
  </si>
  <si>
    <t>ABR1CB460BA123E5SYBSN3A0AA10DC</t>
  </si>
  <si>
    <t>ABRBCA430BA053W00BAKN3A0AA10DC</t>
  </si>
  <si>
    <t>ABRBCA500BA053W00VAKH3A0AA10DC</t>
  </si>
  <si>
    <t>ABR1CA370BB010000BAKH3A0HV10DC</t>
  </si>
  <si>
    <t>ABR1CA390BA010000BAKN1A0AA10DC</t>
  </si>
  <si>
    <t>ABR13A430FA010000BADN3A0FN10CC</t>
  </si>
  <si>
    <t>ABR13A370FA010000BAEH3A0HV10DC</t>
  </si>
  <si>
    <t>ACA332321R1A00MAD002H0D010D00000B</t>
  </si>
  <si>
    <t>HHD333314AB1B1K1K00000B</t>
  </si>
  <si>
    <t>HHD333321AB1B1K1K00000B</t>
  </si>
  <si>
    <t>HHD333314AD00000000000B</t>
  </si>
  <si>
    <t>HHD333321BB1B1K1K00000B</t>
  </si>
  <si>
    <t>HHD333321AB1B1F1C00000B</t>
  </si>
  <si>
    <t>HHD333314BH1F000000000B</t>
  </si>
  <si>
    <t>HHD333321BH1F000000000B</t>
  </si>
  <si>
    <t>HHD333314AB1B1K1KC0000B</t>
  </si>
  <si>
    <t>HHD333321BB1B1M1M00000B</t>
  </si>
  <si>
    <t>ACL06414R1ATTWW00MADDD0410A000A</t>
  </si>
  <si>
    <t>ACL05514L0BTTWW00HAFMM011AC0F0A</t>
  </si>
  <si>
    <t>ACL06421L3DUUYY00EDGFF02E0A000A</t>
  </si>
  <si>
    <t>ACL06414R0ATTWW13MACCC01C0A000A</t>
  </si>
  <si>
    <t>ACL06414R0ATTWW13MACCC01F0A000A</t>
  </si>
  <si>
    <t>ACL06414L0ANPST13HA0DD041AA000A</t>
  </si>
  <si>
    <t>ACL06414R0BNNSS13ECDDD02DAA000A</t>
  </si>
  <si>
    <t>ACA392321L0A00MAD000000010D00000B</t>
  </si>
  <si>
    <t>ACA392314L0A00MAD000000010D00000B</t>
  </si>
  <si>
    <t>ACA392321R0A00MAD000000010D00000B</t>
  </si>
  <si>
    <t>ACA392314R0A00MAD000000A10D00000B</t>
  </si>
  <si>
    <t>ACA392321L1B00MAD000000010D00000B</t>
  </si>
  <si>
    <t>ACA392321R1B00MAD002M0D010K00000B</t>
  </si>
  <si>
    <t>ACA392321L1B00MAD002M0D010K00000B</t>
  </si>
  <si>
    <t>ACA392321L0A00HDD00000A030G00000B</t>
  </si>
  <si>
    <t>ACA392321R0B00MAD002M0D010D00000B</t>
  </si>
  <si>
    <t>ACA342321R1A00MAD002H0D010D00000B</t>
  </si>
  <si>
    <t>ACA392321R0B00EJD002M0D010D00000B</t>
  </si>
  <si>
    <t>HHD393321AB1B1M1M00000B</t>
  </si>
  <si>
    <t>HHD393314AB1B1K1K00000B</t>
  </si>
  <si>
    <t>HHD393314AC00000000000B</t>
  </si>
  <si>
    <t>ACL07514R0AUUWW00ECFFF03D0C0A0A</t>
  </si>
  <si>
    <t>ACL07523R0APPTT00EDGMM03FAC2A0A</t>
  </si>
  <si>
    <t>ACL07523R0BUU0005EDMGG03FAD000A</t>
  </si>
  <si>
    <t>ACA462321R0A00MAD000000010D00000B</t>
  </si>
  <si>
    <t>ACA462321R0A00MAD000000030D00000B</t>
  </si>
  <si>
    <t>ACA462321R0A00MAA000000010D00000B</t>
  </si>
  <si>
    <t>ACA462321R1A00MAD000000A30D00000B</t>
  </si>
  <si>
    <t>ACA462321L1B00HDD000000030D00000B</t>
  </si>
  <si>
    <t>ACA462321L0B00HDD000000B30D00000B</t>
  </si>
  <si>
    <t>ACA462321R1B00HDD00000DB30K00000B</t>
  </si>
  <si>
    <t>ACA462321L0A00MAD000000030D00000B</t>
  </si>
  <si>
    <t>ACA462321R0B00MAB000000030D00000B</t>
  </si>
  <si>
    <t>ACA462314L0A00HB000000AB30D00000B</t>
  </si>
  <si>
    <t>ACA462323L1B00HDG000000030K00000B</t>
  </si>
  <si>
    <t>ACA462314L0A00PA0G00000B30D00000B</t>
  </si>
  <si>
    <t>ACA462336R0B00MAD000000030D00000B</t>
  </si>
  <si>
    <t>ACA462314R1BKKMAD000000030D00000B</t>
  </si>
  <si>
    <t>ACA462321L0A00HAD000000030D00000B</t>
  </si>
  <si>
    <t>ACA462321R1B00HDDB0000DB30K00000B</t>
  </si>
  <si>
    <t>ACA462321R0A00EKD000070030D00000B</t>
  </si>
  <si>
    <t>ACA462321L1BKKHDD00000EE00000000B</t>
  </si>
  <si>
    <t>ACA462314L1BKKHDD00000F050G01500B</t>
  </si>
  <si>
    <t>ACA462340R0B00MAD000000030D05800B</t>
  </si>
  <si>
    <t>ACA462321R0B00MAD000000C30D00000B</t>
  </si>
  <si>
    <t>ACA462301R0B00MAG002K0A010D00000B</t>
  </si>
  <si>
    <t>ACA462321L0A00EKD000070030D00000B</t>
  </si>
  <si>
    <t>HHD463321AB1B1K1K00000B</t>
  </si>
  <si>
    <t>HHD463314AB1B1K1K00000B</t>
  </si>
  <si>
    <t>HHD463314AC00000000000B</t>
  </si>
  <si>
    <t>HHD463314AB2B1K1K00500B</t>
  </si>
  <si>
    <t>HHD463321AB1B1M1M00000B</t>
  </si>
  <si>
    <t>HHD463321BB1B1M1M00000B</t>
  </si>
  <si>
    <t>HHD463321BC00000000000B</t>
  </si>
  <si>
    <t>HHD463314AB1B1K1KC0000B</t>
  </si>
  <si>
    <t>HHD463321BB1B3M3MC0000B</t>
  </si>
  <si>
    <t>ACE464114KBB2B3M3MPA000000B0A</t>
  </si>
  <si>
    <t>ACL08914R1ATTWW00MAGMM0210A000A</t>
  </si>
  <si>
    <t>ACL08923R1BUUYY00HAFBB0110E000A</t>
  </si>
  <si>
    <t>ACL08914R0ATTWW00HAJMM02C0B000A</t>
  </si>
  <si>
    <t>ACL08914R0BNNSS00EDDDD041AA000A</t>
  </si>
  <si>
    <t>ACL08923L0ERRRR00EDC0002FAA000A</t>
  </si>
  <si>
    <t>ACA542323R0A00MAG000000010D0000UB</t>
  </si>
  <si>
    <t>ACA542323L1A00HDG000000010D00000B</t>
  </si>
  <si>
    <t>ACA542314L1B00MDC002M0D010D00000B</t>
  </si>
  <si>
    <t>ACA542321L1B00HDD00000EE00000000B</t>
  </si>
  <si>
    <t>ACA542314L1B00HDD00000F040K01500B</t>
  </si>
  <si>
    <t>ACA542340R0B00MAG000000030D00000B</t>
  </si>
  <si>
    <t>ACA542337R0B00MAD000000030D00000B</t>
  </si>
  <si>
    <t>ACA542337R0B00MAB000000030D00000B</t>
  </si>
  <si>
    <t>ACA542323R1B00HDD00000A030K00000B</t>
  </si>
  <si>
    <t>ACA542337R0B00MAG000000030D00000B</t>
  </si>
  <si>
    <t>ACA542321R0A00MAD000000030D00000B</t>
  </si>
  <si>
    <t>ACA542323R1B00HDD00000EE00000000B</t>
  </si>
  <si>
    <t>ACA542321L0A00MAD000000030D00000B</t>
  </si>
  <si>
    <t>ACA542340R0B00MAD000000030D05800B</t>
  </si>
  <si>
    <t>ACA542340L0B00MAD000000030D05800B</t>
  </si>
  <si>
    <t>ACA542337R0B00MAD000000C30D00000B</t>
  </si>
  <si>
    <t>ACA542314R1B00EKB00000DR50GS0000B</t>
  </si>
  <si>
    <t>ACA542323L0B00HDB000000B30K00000B</t>
  </si>
  <si>
    <t>ACA542323L0B00HDB000000030K00000B</t>
  </si>
  <si>
    <t>ACA542314L0E00NPD002K0D030G00000B</t>
  </si>
  <si>
    <t>ACA542340L0B00MAG000000030D00000B</t>
  </si>
  <si>
    <t>ACA542340R0BMMMAG000000030N00000B</t>
  </si>
  <si>
    <t>HHD543314AB1B1K1K00000B</t>
  </si>
  <si>
    <t>HHD543323AB1B1K1K00000B</t>
  </si>
  <si>
    <t>HHD543321AB1B1K1K00000B</t>
  </si>
  <si>
    <t>HHD543321BB1B1M1M00000B</t>
  </si>
  <si>
    <t>HHD543333BB1B1M1M00000B</t>
  </si>
  <si>
    <t>HHD543321BB1B1K1K02200B</t>
  </si>
  <si>
    <t>HHD543314BB1E1L1L00000B</t>
  </si>
  <si>
    <t>HHD543323BC00000000000B</t>
  </si>
  <si>
    <t>ACL10523L1B00ZZ00MBCMM03E0A000A</t>
  </si>
  <si>
    <t>ACL10514R0A000000HBFFF04DAA000A</t>
  </si>
  <si>
    <t>ACL10514R3AMMRR00EDBDD04F0A000A</t>
  </si>
  <si>
    <t>ACL10523R3BWW0004SE00003D0D000A</t>
  </si>
  <si>
    <t>ACL10528R0EVV2212SE0MM00F0A000A</t>
  </si>
  <si>
    <t>ACL10523R0BUUWW00MA0GG03F0A000A</t>
  </si>
  <si>
    <t>ACL10523R0DSSVV00ECAMM03E0A000A</t>
  </si>
  <si>
    <t>ACL10514L1ERRUU00EDJKK031AA000A</t>
  </si>
  <si>
    <t>ACL10513R0EVV2200SEJMMA0H00000A</t>
  </si>
  <si>
    <t>ACL10528R0EVV2212SEJMMA0F0A000A</t>
  </si>
  <si>
    <t>ACL10523L3DUUYY00EDGHH03E0A000A</t>
  </si>
  <si>
    <t>ACL10514L0BSSVV13EDKHH0310A000A</t>
  </si>
  <si>
    <t>ACL10523R0BUUWW00HA0GG03F0A000A</t>
  </si>
  <si>
    <t>ACL10514R1BPPTT00MBDKK0310A000A</t>
  </si>
  <si>
    <t>ACL10521R3ESS0000HAFGG34F0H000A</t>
  </si>
  <si>
    <t>ACA642314R0A00HB000000AB40D00000B</t>
  </si>
  <si>
    <t>ACA642330L1B00MDC002M0D030D013A0B</t>
  </si>
  <si>
    <t>ACA642323R1B00HDE000000B30K00000B</t>
  </si>
  <si>
    <t>ACA642323R1B00HDD00000D030K00000B</t>
  </si>
  <si>
    <t>ACA642323R1BKKMAG000000030G00000B</t>
  </si>
  <si>
    <t>ACA642337R0B00MAB000000030D00000B</t>
  </si>
  <si>
    <t>ACA642314R0A00MAD002L0A040D00000B</t>
  </si>
  <si>
    <t>ACA642323R0B00MAG000000A30G00000B</t>
  </si>
  <si>
    <t>ACA642321L0E00MVC000000A40K00000B</t>
  </si>
  <si>
    <t>ACA642323R1B00HDD00000A030K00000B</t>
  </si>
  <si>
    <t>ACA642323R0B00EKG000070A30G00000B</t>
  </si>
  <si>
    <t>ACA642337R0A00MAD000000C30D00000B</t>
  </si>
  <si>
    <t>ACA642323R1BKKEKG000000030G00000B</t>
  </si>
  <si>
    <t>ACA642314L0D00MAD002L0A040D00000B</t>
  </si>
  <si>
    <t>ACA642323L0B00HDB000000B30K00000B</t>
  </si>
  <si>
    <t>ACA642321L1A00EJD002J0DV30H00000B</t>
  </si>
  <si>
    <t>ACA642321R1BKKEJD00007BA30D00000B</t>
  </si>
  <si>
    <t>HHD643323BA1B1K1K00000B</t>
  </si>
  <si>
    <t>HHD643321AA1B1M1M00000B</t>
  </si>
  <si>
    <t>HHD643323AA1B1M1M00000B</t>
  </si>
  <si>
    <t>HHD643323BG1B000000000B</t>
  </si>
  <si>
    <t>HHD643323BC00000000000B</t>
  </si>
  <si>
    <t>HHD643323BA1B1L1L00000B</t>
  </si>
  <si>
    <t>HHD643333BB1B1M1MD0000B</t>
  </si>
  <si>
    <t>HHD643333BB1B1M1M00000B</t>
  </si>
  <si>
    <t>HHD643321BG1F000000000B</t>
  </si>
  <si>
    <t>ACE644114HAA1H1K1KRBAF0B00B0A</t>
  </si>
  <si>
    <t>ACA762013L0A00MAG000000030D00000A</t>
  </si>
  <si>
    <t>ACA762027R0A00MAG000000030D00000A</t>
  </si>
  <si>
    <t>ACA762013R0A00MCG000000040D00000A</t>
  </si>
  <si>
    <t>ACA762027R0A00MAG000000040D00000A</t>
  </si>
  <si>
    <t>ACA762027L0A00HDB000000040G00000A</t>
  </si>
  <si>
    <t>ACA762027R0B00MA0000000030D00000A</t>
  </si>
  <si>
    <t>ACA762027L0B00HDG000000030D00000A</t>
  </si>
  <si>
    <t>ACA762027R1A00HBG000000040D00000A</t>
  </si>
  <si>
    <t>ACA762013R0D00EKG000000040D00000A</t>
  </si>
  <si>
    <t>ACA762013R0B00HDDDD0000B40K00000A</t>
  </si>
  <si>
    <t>ACA762027L1B00HD0000000F30D00000A</t>
  </si>
  <si>
    <t>ACA762013L0E00EJB005J7YF30K00000A</t>
  </si>
  <si>
    <t>ACA762047L0B00EKD002M0A040K00000A</t>
  </si>
  <si>
    <t>ACA762047R0B00EKD002M0A040K00000A</t>
  </si>
  <si>
    <t>ACA762027L1B00MAG000000A30D00000A</t>
  </si>
  <si>
    <t>HHD763013AB1B1K1K00000A</t>
  </si>
  <si>
    <t>HHD763027AB1B1K1K00000A</t>
  </si>
  <si>
    <t>HHD763013AB1B401K00000A</t>
  </si>
  <si>
    <t>HHD763027BB1B3K3K00000A</t>
  </si>
  <si>
    <t>HHD763027BA1B1M1M00000A</t>
  </si>
  <si>
    <t>HHD763027BC00000000000A</t>
  </si>
  <si>
    <t>HHD763042BA1H1N1NB0000A</t>
  </si>
  <si>
    <t>HHD763013AA1F000000000A</t>
  </si>
  <si>
    <t>ACE764013MBB1B1M1MRBGG0000B0A</t>
  </si>
  <si>
    <t xml:space="preserve">TRANS ASS Y     CW  </t>
  </si>
  <si>
    <t>TRANS ASS W</t>
  </si>
  <si>
    <t xml:space="preserve">TRANS ASS'Y     CW  </t>
  </si>
  <si>
    <t>M-11 VARIABLE PUMP ASSEMBLY</t>
  </si>
  <si>
    <t xml:space="preserve">M-11 VAR PUMP ASS'Y  </t>
  </si>
  <si>
    <t xml:space="preserve">M-11 VAR PUMP  </t>
  </si>
  <si>
    <t xml:space="preserve">M-11 VARIABLE PUMP ASSY  </t>
  </si>
  <si>
    <t xml:space="preserve">TRANS ASS'Y           CW </t>
  </si>
  <si>
    <t>M-6 TRANSMISSION ASSEMBLY CCW</t>
  </si>
  <si>
    <t xml:space="preserve">TRANS ASS'Y          CCW </t>
  </si>
  <si>
    <t xml:space="preserve">TRANS ASSY   CW  </t>
  </si>
  <si>
    <t xml:space="preserve">M-6 TRANSMISSION  </t>
  </si>
  <si>
    <t xml:space="preserve">M7 TRANSMISSION   CW  </t>
  </si>
  <si>
    <t xml:space="preserve">M7 TRANSMISSION  </t>
  </si>
  <si>
    <t xml:space="preserve">M7 TRANSMISSION CCW  </t>
  </si>
  <si>
    <t xml:space="preserve">M7 TRANSMISSION ASSY  CW </t>
  </si>
  <si>
    <t xml:space="preserve">TRANS ASS'Y W/BARCODECCW </t>
  </si>
  <si>
    <t xml:space="preserve">TRANS ASS Y          CCW </t>
  </si>
  <si>
    <t>M-7 TRANSMISSION ASSEMBLY CW</t>
  </si>
  <si>
    <t xml:space="preserve">TRANS. ASSY  CCW  </t>
  </si>
  <si>
    <t xml:space="preserve">TRANS ASSY   CCW  </t>
  </si>
  <si>
    <t>M-7 TRANSMISSION ASSEMBLY CCW</t>
  </si>
  <si>
    <t>M-7 HYDROSTATIC TRANSMISSION</t>
  </si>
  <si>
    <t xml:space="preserve">7 VARIABLE PUMP ASSY CW  </t>
  </si>
  <si>
    <t xml:space="preserve">M-7 VAR PUMP ASS'Y   CCW </t>
  </si>
  <si>
    <t xml:space="preserve">M-7 VAR PUMP ASS'Y   CW  </t>
  </si>
  <si>
    <t xml:space="preserve">M-7 VAR PUMP ASSY CCW  </t>
  </si>
  <si>
    <t>M-7 VAR PUMP ASSEMBLY CCW</t>
  </si>
  <si>
    <t>ABFAL00AA02000000000A0A</t>
  </si>
  <si>
    <t>ABFAR00AA01000000000A0A</t>
  </si>
  <si>
    <t>ABFAR00AA02000000000A0A</t>
  </si>
  <si>
    <t>ABFAL01AA02000000000A0A</t>
  </si>
  <si>
    <t>ABFAL01AD02000000000A0A</t>
  </si>
  <si>
    <t>ABFAR01AA01000000000A0A</t>
  </si>
  <si>
    <t>ABFAR01AA03000000000A0A</t>
  </si>
  <si>
    <t>ABFAL02AA1600000000000A</t>
  </si>
  <si>
    <t>ABFAL02AA01000000000A0A</t>
  </si>
  <si>
    <t>ABFAR02AA01000000000B0A</t>
  </si>
  <si>
    <t>ABFAR02AA02000000000B0A</t>
  </si>
  <si>
    <t>ABFAL03AA02000000000A0A</t>
  </si>
  <si>
    <t>ABFAL03AB01000000000A0A</t>
  </si>
  <si>
    <t>ABFAL03AA03000000000A0A</t>
  </si>
  <si>
    <t>ABFAR03AA16000000000A0A</t>
  </si>
  <si>
    <t>ABFAR03AA01000000000A0A</t>
  </si>
  <si>
    <t>ABFAR03AB01000000000A0A</t>
  </si>
  <si>
    <t>ABFAR03AB02000000000A0A</t>
  </si>
  <si>
    <t>ABFAL04AA1600000000000A</t>
  </si>
  <si>
    <t>ABFAL04AA01000000000A0A</t>
  </si>
  <si>
    <t>ABFAR04AD0200000000000A</t>
  </si>
  <si>
    <t>ABFAR04AD0100000A00000A</t>
  </si>
  <si>
    <t>ABFAR04AA01000000000B0A</t>
  </si>
  <si>
    <t>ABFAR04AA01000000000A0A</t>
  </si>
  <si>
    <t>ABFAR04AB01000000000A0A</t>
  </si>
  <si>
    <t>ABFAL05AJ1600000000000A</t>
  </si>
  <si>
    <t>ABFAL05AA01000000000A0A</t>
  </si>
  <si>
    <t>ABFAL05AA02000000000A0A</t>
  </si>
  <si>
    <t>ABFAR05AA16000000AC0A0A</t>
  </si>
  <si>
    <t>ABFAR05AA01000000000A0A</t>
  </si>
  <si>
    <t>ABFAR05AB01000000000A0A</t>
  </si>
  <si>
    <t>ABFAR05AA03000000000A0A</t>
  </si>
  <si>
    <t>ABFAL06AD0200000000000A</t>
  </si>
  <si>
    <t>ABFAL06AA01000000000B0A</t>
  </si>
  <si>
    <t>ABFAL06AA03000000000A0A</t>
  </si>
  <si>
    <t>ABFAR06AA02000000000B0A</t>
  </si>
  <si>
    <t xml:space="preserve">ABFAR06AB03000000000A0A  </t>
  </si>
  <si>
    <t>ABFAL07AD0200000A00000A</t>
  </si>
  <si>
    <t>ABFAL07AJ0300000000000A</t>
  </si>
  <si>
    <t>ABFAL07AA01000000000A0A</t>
  </si>
  <si>
    <t>ABFAL07AA03000000000A0A</t>
  </si>
  <si>
    <t>ABFAR07AB02000000000A0A</t>
  </si>
  <si>
    <t>ABFAR08AB03000000000A0A</t>
  </si>
  <si>
    <t>ABFBL04AA04AGAE0A000A0A</t>
  </si>
  <si>
    <t>ABFBR08AA04AJAE0A000A0A</t>
  </si>
  <si>
    <t>ABFAL04AA170000B0000A0A</t>
  </si>
  <si>
    <t>ABFAR05AA170000B000000A</t>
  </si>
  <si>
    <t>ABGAR069904AE10030000000CD0A</t>
  </si>
  <si>
    <t>ACNAL01ADA0030000000000A</t>
  </si>
  <si>
    <t>ACNAL01ADA0040000000000A</t>
  </si>
  <si>
    <t>ACNAR01ACA0010000000000A</t>
  </si>
  <si>
    <t>ACNAR01ADA0030000000000A</t>
  </si>
  <si>
    <t>ACNAR01AAA0030000000000A</t>
  </si>
  <si>
    <t>ACNAR01AAA0040000000000A</t>
  </si>
  <si>
    <t>ACNAR01ACA0030000000000A</t>
  </si>
  <si>
    <t>ACNAL02ACA0010000000000A</t>
  </si>
  <si>
    <t>ACNAL02AAA0010000000000A</t>
  </si>
  <si>
    <t>ACNAR02BEC00200000ABCA0A</t>
  </si>
  <si>
    <t>ACNAR02ACA0010000000000A</t>
  </si>
  <si>
    <t>ACNAR02AAA0010000000000A</t>
  </si>
  <si>
    <t>ACNAR02ADA0030000000000A</t>
  </si>
  <si>
    <t>ACNAR02AAA0030000000000A</t>
  </si>
  <si>
    <t>ACNAL03AAA0030000000000A</t>
  </si>
  <si>
    <t>ACNAR03AFA00300000000C0A</t>
  </si>
  <si>
    <t>ACNAR03ACA0010000000000A</t>
  </si>
  <si>
    <t>ACNAR03AAA0010000000000A</t>
  </si>
  <si>
    <t>ACNAR03ADA0030000000000A</t>
  </si>
  <si>
    <t>ACNAL04ACA0020000000000A</t>
  </si>
  <si>
    <t>ACNAL04AAA0010000000000A</t>
  </si>
  <si>
    <t>ACNAR04AAB0030000000000A</t>
  </si>
  <si>
    <t>ACNAR04ABA0010000000000A</t>
  </si>
  <si>
    <t>ACNAR04ABA0020000000000A</t>
  </si>
  <si>
    <t>ACNAR04ACA0010000000000A</t>
  </si>
  <si>
    <t>ACNAR04ACA0020000000000A</t>
  </si>
  <si>
    <t>ACNAR04ADA0030000000000A</t>
  </si>
  <si>
    <t>ACNAR04AAA0030000000000A</t>
  </si>
  <si>
    <t>ACNAR04ACA0030000000000A</t>
  </si>
  <si>
    <t>ACNAL05AWA0030000000AU0A</t>
  </si>
  <si>
    <t>ACNAL05ACA0010000000AU0A</t>
  </si>
  <si>
    <t>ACNAL05DZB0010000000000A</t>
  </si>
  <si>
    <t>ACNAL05ABA0010000000000A</t>
  </si>
  <si>
    <t>ACNAL05AAA0010000000000A</t>
  </si>
  <si>
    <t>ACNAR05AAA0010000A00CF0A</t>
  </si>
  <si>
    <t>ACNAR05BPA0030000000BN0A</t>
  </si>
  <si>
    <t>ACNAR05BPA00300000BABN0A</t>
  </si>
  <si>
    <t>ACNAR05AAB0030000000AF0A</t>
  </si>
  <si>
    <t>ACNAR05ABA0010000000000A</t>
  </si>
  <si>
    <t>ACNAR05ACA0010000000000A</t>
  </si>
  <si>
    <t>ACNAR05ACA0020000000000A</t>
  </si>
  <si>
    <t>ACNAR05AAA0010000000000A</t>
  </si>
  <si>
    <t>ACNAR05ADA0030000000000A</t>
  </si>
  <si>
    <t>ACNAR05AAA0030000000000A</t>
  </si>
  <si>
    <t>ACNAL06ABA0010000000000A</t>
  </si>
  <si>
    <t>ACNAL06ACA0030000000000A</t>
  </si>
  <si>
    <t>ACNAR06ABAK800000ABS0K0A</t>
  </si>
  <si>
    <t>ACNAR06ABA0010000000000A</t>
  </si>
  <si>
    <t>ACNAR06ABA0020000000000A</t>
  </si>
  <si>
    <t>ACNAR06ACA0010000000000A</t>
  </si>
  <si>
    <t>ACNAR06AAA0010000000000A</t>
  </si>
  <si>
    <t>ACNAR06ADA0030000000000A</t>
  </si>
  <si>
    <t>ACNAR06AAA0030000000000A</t>
  </si>
  <si>
    <t>ACNAL07AEA0030000000CC0A</t>
  </si>
  <si>
    <t>ACNAL07AEA0450000000CC0A</t>
  </si>
  <si>
    <t>ACNAL07AAA0010000000000A</t>
  </si>
  <si>
    <t>ACNAL07AAA0030000000000A</t>
  </si>
  <si>
    <t>ACNAR07AAA0010000A00BF0A</t>
  </si>
  <si>
    <t>ACNAR07ACA0010000000000A</t>
  </si>
  <si>
    <t>ACNAR07ACA0020000000000A</t>
  </si>
  <si>
    <t>ACNAR07AAA0010000000000A</t>
  </si>
  <si>
    <t>ACNAR07AAA0020000000000A</t>
  </si>
  <si>
    <t>ACNAR07ADA0030000000000A</t>
  </si>
  <si>
    <t>ACNAR07AAA0030000000000A</t>
  </si>
  <si>
    <t>ACNAL08AAA0010000A00CF0A</t>
  </si>
  <si>
    <t>ACNAL08AAA0010000000000A</t>
  </si>
  <si>
    <t>ACNAR08ABA0010000A000B0A</t>
  </si>
  <si>
    <t>ACNAR08ABA0010000000000A</t>
  </si>
  <si>
    <t>ACNAR08ACA0010000000000A</t>
  </si>
  <si>
    <t>ACNAR08AAA0010000000000A</t>
  </si>
  <si>
    <t>ACNAR08AAA0020000000000A</t>
  </si>
  <si>
    <t>ACNAR08ADA0030000000000A</t>
  </si>
  <si>
    <t>ACNAL09AEC03600000000U0A</t>
  </si>
  <si>
    <t>ACNAL09ABA0010000AAYCF0A</t>
  </si>
  <si>
    <t>ACNAL09ADA0030000000000A</t>
  </si>
  <si>
    <t>ACNAR09ANA00400000000A0A</t>
  </si>
  <si>
    <t>ACNAR09AJA00400000000A0A</t>
  </si>
  <si>
    <t>ACNAR09ABA00100000000B0A</t>
  </si>
  <si>
    <t>ACNAR09ADA0030000000000A</t>
  </si>
  <si>
    <t>ACNAR09AAA0030000000000A</t>
  </si>
  <si>
    <t>ACNAL10ABA0020000000000A</t>
  </si>
  <si>
    <t>ACNAL10ACA0010000000000A</t>
  </si>
  <si>
    <t>ACNAR10AZA00100000ABCD0A</t>
  </si>
  <si>
    <t>ACNAR10CVA00100000000V0A</t>
  </si>
  <si>
    <t>ACNAR10ABA0500000000CD0A</t>
  </si>
  <si>
    <t>ACNAR10ABA0010000000000A</t>
  </si>
  <si>
    <t>ACNAR10ABA0020000000000A</t>
  </si>
  <si>
    <t>ACNAR10ACA0010000000000A</t>
  </si>
  <si>
    <t>ACNAR10AAA0010000000000A</t>
  </si>
  <si>
    <t>ACNAR10ABA0030000000000A</t>
  </si>
  <si>
    <t>ACNAR10ACA0040000000000A</t>
  </si>
  <si>
    <t>ACNAL11ABA0010000000000A</t>
  </si>
  <si>
    <t>ACNFR11DPE0580000A00000A</t>
  </si>
  <si>
    <t>ACNAR11ABA0090000A000K0A</t>
  </si>
  <si>
    <t>ACNAR11ABA00500000AEAQ0A</t>
  </si>
  <si>
    <t>ACNAR11ABA0010000000000A</t>
  </si>
  <si>
    <t>ACNAR11ACA0010000000000A</t>
  </si>
  <si>
    <t>ACNAR11AAA0010000000000A</t>
  </si>
  <si>
    <t>ACNAL12AGA01100000000A0A</t>
  </si>
  <si>
    <t>ACNAL12AFA00100000000V0A</t>
  </si>
  <si>
    <t>ACNAL12CEA00400000AM000A</t>
  </si>
  <si>
    <t>ACNAL12AAA0030000000000A</t>
  </si>
  <si>
    <t>ACNAL12AAA0040000000000A</t>
  </si>
  <si>
    <t>ACNAR12ABA0010000A000B0A</t>
  </si>
  <si>
    <t>ACNAR12ABA0010000000000A</t>
  </si>
  <si>
    <t>ACNAR12ADA0030000000000A</t>
  </si>
  <si>
    <t>ACNAR12AAA0030000000000A</t>
  </si>
  <si>
    <t>ACNAL13ABA0010000000000A</t>
  </si>
  <si>
    <t>ACNAL13ABA0020000000000A</t>
  </si>
  <si>
    <t>ACNAL13ACA0010000000000A</t>
  </si>
  <si>
    <t>ACNAL13AAA0020000000000A</t>
  </si>
  <si>
    <t>ACNAR13BMA0010000ABB0U0A</t>
  </si>
  <si>
    <t>ACNAR13ABA00200000000B0A</t>
  </si>
  <si>
    <t>ACNAR13CVA00100000000V0A</t>
  </si>
  <si>
    <t>ACNAR13ABA0010000000000A</t>
  </si>
  <si>
    <t>ACNAR13ABA0020000000000A</t>
  </si>
  <si>
    <t>ACNAR13ACA0010000000000A</t>
  </si>
  <si>
    <t>ACNAR13AAA0010000000000A</t>
  </si>
  <si>
    <t>ACNAR13AAA0020000000000A</t>
  </si>
  <si>
    <t>ACNAL15BBA00600000AF0A0A</t>
  </si>
  <si>
    <t>ACNAL16DZB0010000000000A</t>
  </si>
  <si>
    <t>ACNAL16EWA09700000AH000A</t>
  </si>
  <si>
    <t>ACNAR16ESD0140000AAR0K0A</t>
  </si>
  <si>
    <t>ACNCR07AAA04700ASA000A0A</t>
  </si>
  <si>
    <t>ACNBL06ABA020AM00A00000A</t>
  </si>
  <si>
    <t>ACNBR10ABA020AMAPA00000A</t>
  </si>
  <si>
    <t>ACNBL11ABA021BDALA000A0A</t>
  </si>
  <si>
    <t>ACNBR11ABA020AJAFA00000A</t>
  </si>
  <si>
    <t>ACNBL12AFA043ALAVACA0V0A</t>
  </si>
  <si>
    <t>ACNER06ABA048AZBBA000B0A</t>
  </si>
  <si>
    <t>ACNER07ABA048AZBWA000A0A</t>
  </si>
  <si>
    <t xml:space="preserve">ACNER07ABA048AZBWA000B0A </t>
  </si>
  <si>
    <t>ACNER13ABA048AZBAA00CD0A</t>
  </si>
  <si>
    <t>ACNAR04AAAH800000A000K0A</t>
  </si>
  <si>
    <t>ACMAR010111AC0101140000A0A00CD0B</t>
  </si>
  <si>
    <t>ACMAL029914AA0500430000B00000B0B</t>
  </si>
  <si>
    <t>ACMAL029902AB0100010000A0000CD0B</t>
  </si>
  <si>
    <t>ACMAR029914AA1500510000B00000B0B</t>
  </si>
  <si>
    <t>ACMAR029901AA0500510000A00000B0B</t>
  </si>
  <si>
    <t>ACMCR030314AB01044200BEA0A000P0B</t>
  </si>
  <si>
    <t>ACMAL049904AA0100160000A00000A0B</t>
  </si>
  <si>
    <t>ACMCR049907AB01002600APA0A00CD0B</t>
  </si>
  <si>
    <t>ACMAR049901AA0100140000A0000CD0B</t>
  </si>
  <si>
    <t>ACMAR049903AB0100160000A0000000B</t>
  </si>
  <si>
    <t>ACMAR049901AA1600510000A0A00BU0B</t>
  </si>
  <si>
    <t>ACMAL059905AB0100160000A00000B0B</t>
  </si>
  <si>
    <t>ACMDR059905AA01004100ATA0A000B0B</t>
  </si>
  <si>
    <t>ACMAR059905AA1200030000A0000000B</t>
  </si>
  <si>
    <t>ACMAR059902AB0500010000A0000CD0B</t>
  </si>
  <si>
    <t>ACMAL069902CH0500160000B0A00000B</t>
  </si>
  <si>
    <t>ACMBR069906AY010038AC00A0A000A0B</t>
  </si>
  <si>
    <t>ACMBR060603BA010479BA00B0A000B0B</t>
  </si>
  <si>
    <t>ACMAR069904AB0100140000A0000CD0B</t>
  </si>
  <si>
    <t>ACMAL079902AB0100010000A0000CD0B</t>
  </si>
  <si>
    <t>ACMBR070703BA010478BA00B0ABF0B0B</t>
  </si>
  <si>
    <t>ACMAR079905AA0500160000A0A00000B</t>
  </si>
  <si>
    <t>ACMAR079909AB0500010000A00000B0B</t>
  </si>
  <si>
    <t>ACMCR089904AB01002500APA0A00000B</t>
  </si>
  <si>
    <t>ACMAR089905AB0100160000A00000A0B</t>
  </si>
  <si>
    <t>ACMAR089905AA0500160000A0A00000B</t>
  </si>
  <si>
    <t>ACMAR109906AB0100140000A0000000B</t>
  </si>
  <si>
    <t>ACMAR109906AB0100160000B0000000B</t>
  </si>
  <si>
    <t>ACMAR109903AA0100160000A00000V0B</t>
  </si>
  <si>
    <t>ACMAR129906AB0100160000A0A000B0B</t>
  </si>
  <si>
    <t>ACMAR129912AA0500520000A0000000A</t>
  </si>
  <si>
    <t>ACMAR149914CJ0700010000A0A00CDVB</t>
  </si>
  <si>
    <t>ADMAD03ALA01AC0000000A0A</t>
  </si>
  <si>
    <t>ADMAL03AAA01000000000A0A</t>
  </si>
  <si>
    <t>ADMAD04AAA03AA0000000A0A</t>
  </si>
  <si>
    <t>ADMAD04AMA01AC0000000A0A</t>
  </si>
  <si>
    <t>ADMAD04AAA01AC0000000A0A</t>
  </si>
  <si>
    <t>ADMAL04AAA01000000000A0A</t>
  </si>
  <si>
    <t>ADMAD05BHA01AC0000000A0A</t>
  </si>
  <si>
    <t>ADMAD05AAA01AC0000000A0A</t>
  </si>
  <si>
    <t>ADMAL05ADA02AA0000000A0A</t>
  </si>
  <si>
    <t>ADMAD06AMA01AC0000000A0A</t>
  </si>
  <si>
    <t>ADMAD06BHA01AC0000000A0A</t>
  </si>
  <si>
    <t>ADMAD06ACA02AA0000000A0A</t>
  </si>
  <si>
    <t>ADMAD06AAA03AC0000000A0A</t>
  </si>
  <si>
    <t>ADMAD07ALA01AC0000AF0A0A</t>
  </si>
  <si>
    <t>ADMAD07AAA01ACCABA00000A</t>
  </si>
  <si>
    <t>ADMAL07AJA03AA000000000A</t>
  </si>
  <si>
    <t>ADMAD08ACA02AA0000000A0A</t>
  </si>
  <si>
    <t>ADMAD10BBA03ABCABA000B0A</t>
  </si>
  <si>
    <t>ADMAD10BBA09ABCABA000B0A</t>
  </si>
  <si>
    <t>AAYLAB01010AA00000A0A</t>
  </si>
  <si>
    <t>AAYLAB01010CA00000A0A</t>
  </si>
  <si>
    <t>AAYLAA1800CBA00000A0A</t>
  </si>
  <si>
    <t>AAYLAA18010AA00000A0A</t>
  </si>
  <si>
    <t>AAYLAA01010AA00000A0A</t>
  </si>
  <si>
    <t>AAYLAA21000AA00000A0A</t>
  </si>
  <si>
    <t>AAYLAA1800CBB00000A0A</t>
  </si>
  <si>
    <t>AAYRAC01010AA00000A0A</t>
  </si>
  <si>
    <t>AAYRAB01010AA00000A0A</t>
  </si>
  <si>
    <t>AAYRAB01000AA00000A0A</t>
  </si>
  <si>
    <t>AAYRAB01010CA00000A0A</t>
  </si>
  <si>
    <t>AAYRAA1800CBA00000A0A</t>
  </si>
  <si>
    <t>AAYRAF01010BA00000A0A</t>
  </si>
  <si>
    <t>AAYRAA18010AA00000A0A</t>
  </si>
  <si>
    <t>AAYRAA18000AA00000A0A</t>
  </si>
  <si>
    <t>AAYRAA01000CA00000A0A</t>
  </si>
  <si>
    <t>AAYRAA01010AA00000A0A</t>
  </si>
  <si>
    <t>AAYRAA01000BA00000A0A</t>
  </si>
  <si>
    <t>AAYRAE15000AA00000A0A</t>
  </si>
  <si>
    <t>AAYRAJ01010AA00000A0A</t>
  </si>
  <si>
    <t>AAYRAF01010CA00000A0A</t>
  </si>
  <si>
    <t>ADB12L2ARA11LL1J0A00320A000HCD0C</t>
  </si>
  <si>
    <t>ADB14R4ALB11LL3F0A00320A000C0B0C</t>
  </si>
  <si>
    <t>ADB12R2ALA11LL1F0AAA220B00000B0C</t>
  </si>
  <si>
    <t>ADB14R5ARC11HH0C0D00320C00000B0C</t>
  </si>
  <si>
    <t>ADB12R4ALB11NN0L0C00310A00000B0C</t>
  </si>
  <si>
    <t>ADB12R2ARA11NN1A0A00320A00000B0C</t>
  </si>
  <si>
    <t>ADB14R2ARC11NN1F0A00300A00000B0C</t>
  </si>
  <si>
    <t>ADB12R1FRD11TT1A0A00010A00000A0C</t>
  </si>
  <si>
    <t>ADB12R2ARA11HH1A0A00210A00000A0C</t>
  </si>
  <si>
    <t>ADB12R1FLD11HH1A0A00020A00000A0C</t>
  </si>
  <si>
    <t>ADB12R1ARD11TT1A0A00020A00000A0C</t>
  </si>
  <si>
    <t>ADB12R5ARB11HH1F0A00320B0000AF0C</t>
  </si>
  <si>
    <t>ADB12R2FRA11LL1F0A00220A00000A0C</t>
  </si>
  <si>
    <t>ADB12R1ARD11JJ1A0A00020A00000B0C</t>
  </si>
  <si>
    <t>ADB12R1FRD11HH0A0C00310A00000A0C</t>
  </si>
  <si>
    <t>ADB12R4ALB11NH0L0BAD310B00000B0C</t>
  </si>
  <si>
    <t>ADB12R1ALA11LL1F0A00020C00000A0C</t>
  </si>
  <si>
    <t>ADB12R1ALD21LL000CAJ310A00000B0C</t>
  </si>
  <si>
    <t>ADB14R2ARA11NN1F0A00320A00000B0C</t>
  </si>
  <si>
    <t>ADB12R4ALB11BE0L0C00310A00000B0C</t>
  </si>
  <si>
    <t>ADB12R2ARA11NN1A0AAN320A00000B0C</t>
  </si>
  <si>
    <t>ADB12R1FRD11LL1F0AAA310A0000CD0C</t>
  </si>
  <si>
    <t>ACV3ARAL2HHB4A000100J0B0B</t>
  </si>
  <si>
    <t>ACV20RBM1WLA1B0000B000B0B</t>
  </si>
  <si>
    <t>ACV2BRAF1HHA1D020500KCD1B</t>
  </si>
  <si>
    <t>ACV20RCJ1TTA1C2141000CD0B</t>
  </si>
  <si>
    <t>ACV20RAJ1BBA1S11110000A0B</t>
  </si>
  <si>
    <t>ACV20RCE1EEA1Y11110000A0B</t>
  </si>
  <si>
    <t>ACV20RAC1TTA1V11110000A0B</t>
  </si>
  <si>
    <t>ACV20RAL1TTA1V11110000A0B</t>
  </si>
  <si>
    <t>ACV20RAJ1LLA1C21430000A0B</t>
  </si>
  <si>
    <t>ACV30RCJ1EEA1Y11110000A0B</t>
  </si>
  <si>
    <t>AAGLAD01010AA00000A0A</t>
  </si>
  <si>
    <t>AAGLAM01010AA00000A0A</t>
  </si>
  <si>
    <t>AAGLAD19110AG00000A0A</t>
  </si>
  <si>
    <t>AAGLAD19110AG00000B0A</t>
  </si>
  <si>
    <t>AAGRAD01000AA00000A0A</t>
  </si>
  <si>
    <t>AAGRAD01010AA00000A0A</t>
  </si>
  <si>
    <t>AAGRAG0716AJF00AB000A</t>
  </si>
  <si>
    <t>AAGRAM01000AA00000A0A</t>
  </si>
  <si>
    <t>AAGRAM01010AA00000A0A</t>
  </si>
  <si>
    <t>AAGRAS27000AA00AD0A0A</t>
  </si>
  <si>
    <t>AAGRAD17010AA00000A0A</t>
  </si>
  <si>
    <t>AAGRAF01010AE00000A0A</t>
  </si>
  <si>
    <t>AAGRAD19110AG00000A0A</t>
  </si>
  <si>
    <t>AAGRAD19110AG00000B0A</t>
  </si>
  <si>
    <t>AAGRAS27000AA00AM0A0A</t>
  </si>
  <si>
    <t>AAGRAD01000AA00000B0A</t>
  </si>
  <si>
    <t>AAGRAF01010BA00000B0A</t>
  </si>
  <si>
    <t>AAHLAM01010AA00000A0A</t>
  </si>
  <si>
    <t>AAHLAF01010BA00000A0A</t>
  </si>
  <si>
    <t>AAHLAM01010BA00000A0A</t>
  </si>
  <si>
    <t>AAHLAF01000AA00000A0A</t>
  </si>
  <si>
    <t>AAHLAF01010AA00000A0A</t>
  </si>
  <si>
    <t>AAHLAF01090AG00000A0A</t>
  </si>
  <si>
    <t>AAHLAF0101QAZ00000A0A</t>
  </si>
  <si>
    <t>AAHRAF0901DAA00000K0A</t>
  </si>
  <si>
    <t>AAHRAM01010AA00000A0A</t>
  </si>
  <si>
    <t>AAHRAF01000BA00000A0A</t>
  </si>
  <si>
    <t>AAHRAM01000BA00000A0A</t>
  </si>
  <si>
    <t>AAHRAF01010AA00000A0A</t>
  </si>
  <si>
    <t>AAHRAF0717ABL00AF0A0A</t>
  </si>
  <si>
    <t>AAHRAF01010AE00000A0A</t>
  </si>
  <si>
    <t>AAHRAF01090AG00000A0A</t>
  </si>
  <si>
    <t>AAHRAS0117AAK00AT0A0A</t>
  </si>
  <si>
    <t>AAHRAF0105AAE00000A0A</t>
  </si>
  <si>
    <t>AAGLAF01010BAB0000A0A</t>
  </si>
  <si>
    <t>AAGRAF01010BAB0000A0A</t>
  </si>
  <si>
    <t>AAGRAF01000BAB0000A0A</t>
  </si>
  <si>
    <t>AAGRAF01010BEB0000A0A</t>
  </si>
  <si>
    <t>AAGRAF3109ABAD000BF0A</t>
  </si>
  <si>
    <t>AAHLAF07040HBD000000A</t>
  </si>
  <si>
    <t>AAHLAA01000BAB0000A0A</t>
  </si>
  <si>
    <t>AAHLAF22000BABF00000A</t>
  </si>
  <si>
    <t>AAHLAF01010BAB0000A0A</t>
  </si>
  <si>
    <t>AAHLAA06000BAD0000A0A</t>
  </si>
  <si>
    <t>AAHLAF03040KBD0000B0A</t>
  </si>
  <si>
    <t>AAHLAA01000BGD0000B0A</t>
  </si>
  <si>
    <t>AAHRAF01010BEB0000A0A</t>
  </si>
  <si>
    <t>AAHRAF01010BAB0000A0A</t>
  </si>
  <si>
    <t>AAHRAF03040KBDE000B0A</t>
  </si>
  <si>
    <t>AAHRAA18040BLB0000B0A</t>
  </si>
  <si>
    <t>AAHRAF01010BEF0000A0A</t>
  </si>
  <si>
    <t>AAHRAF3109ABAD000BF0A</t>
  </si>
  <si>
    <t xml:space="preserve">Compensator Assy  </t>
  </si>
  <si>
    <t>AAWLAA01000AB00000A0B</t>
  </si>
  <si>
    <t>AAWLAA01010AB00000A0B</t>
  </si>
  <si>
    <t>AAWLAC01010AB00000A0B</t>
  </si>
  <si>
    <t>AAWLAB0600DCA00000A0B</t>
  </si>
  <si>
    <t>AAWLAA0600DCA00000A0B</t>
  </si>
  <si>
    <t>AAWRAA01000AB00000A0B</t>
  </si>
  <si>
    <t>AAWRAA01010AB00000A0B</t>
  </si>
  <si>
    <t>AAWRAC01010AB00000A0B</t>
  </si>
  <si>
    <t>AAWRAC01000AB00000A0B</t>
  </si>
  <si>
    <t>AAWRAA17010AA00000A0B</t>
  </si>
  <si>
    <t>AAWRAA1703HDA00000A0B</t>
  </si>
  <si>
    <t>AAWLAA01010ABA0000A0B</t>
  </si>
  <si>
    <t>AAWLAA01010ABB0000A0B</t>
  </si>
  <si>
    <t>AAWLAA0107GADD0000B0B</t>
  </si>
  <si>
    <t>AAWRAA01010ABA0000A0B</t>
  </si>
  <si>
    <t>AAWRAA01010ABB0000A0B</t>
  </si>
  <si>
    <t>AAMGA260H000A0C</t>
  </si>
  <si>
    <t>AAMGA110M000A0C</t>
  </si>
  <si>
    <t>AAMGA210H000A0C</t>
  </si>
  <si>
    <t>AAMGA110FAA0A0C</t>
  </si>
  <si>
    <t>AAMGA110D000A0C</t>
  </si>
  <si>
    <t>AAMGA110H000A0C</t>
  </si>
  <si>
    <t>AADRAAA13EE1TT0M00A000A000D</t>
  </si>
  <si>
    <t>AAERABB00DE1TT0M00A000A000D</t>
  </si>
  <si>
    <t>AAFRBAE23DS2TT0M00A000A000D</t>
  </si>
  <si>
    <t>AAERABB00CE1NNAM00AA00A000D</t>
  </si>
  <si>
    <t>AADRAAA13EE1TTAM00A000A000D</t>
  </si>
  <si>
    <t>AADRCAA23ED1TTAMA1AA00A000D</t>
  </si>
  <si>
    <t>AADRAAA13EE1TTAMA0C000A000D</t>
  </si>
  <si>
    <t>ACGLAAA24DE1NN0EC00000A000D</t>
  </si>
  <si>
    <t>AADLAAC24EE1TTAM00A000A000D</t>
  </si>
  <si>
    <t>AADLAAC24EE1TTAEC0AB00A000D</t>
  </si>
  <si>
    <t>ACGLAAA23EE1TT0ED0000CD000D</t>
  </si>
  <si>
    <t>AAELABB00DE1TTAEC0AA00A000D</t>
  </si>
  <si>
    <t>AAFLBAC23DS2TTAEC0AA00A000D</t>
  </si>
  <si>
    <t>AAELABB00DE1QQ0EC0A000A000D</t>
  </si>
  <si>
    <t>AAELABB00DE2QQ0EC0A000A000D</t>
  </si>
  <si>
    <t>ACGLAAC24EE1TTAEC0AB00A000D</t>
  </si>
  <si>
    <t>AADRAAA13EE1TT0MC0A000A000D</t>
  </si>
  <si>
    <t>AADRAFA13EE1QQ0MA0AA00A000D</t>
  </si>
  <si>
    <t>AADRAAA13ED2BBAM00AC00B000D</t>
  </si>
  <si>
    <t>AADRCAA13EE1TT0MC0A000A000D</t>
  </si>
  <si>
    <t>ACGRAAA23EE1TT0M00A000A000D</t>
  </si>
  <si>
    <t>AADRAFA23EE1QQ0MA0AA00A000D</t>
  </si>
  <si>
    <t>AADRAAA14ED2NNAMA0AAL0BBR0D</t>
  </si>
  <si>
    <t>AADRAAA23DE2LLAMA0A000A000D</t>
  </si>
  <si>
    <t>AADRAAA13EE1HH0MC0A000A000D</t>
  </si>
  <si>
    <t>ACGRAAA13EE1NN0M00A000A000D</t>
  </si>
  <si>
    <t>AADRAAA24EE1TT0HA0CA00A000D</t>
  </si>
  <si>
    <t>AADRALJ24ED2NN0SA0AA00B000D</t>
  </si>
  <si>
    <t>ACJRBLK83DZ6YY0MM00000BCV0D</t>
  </si>
  <si>
    <t>AADRAAA13EE1TT0HA0A000A000D</t>
  </si>
  <si>
    <t>AADRAAA13EE1LLAM00A000A000D</t>
  </si>
  <si>
    <t>AADRAAA13EE1E00HA0C000ABB0D</t>
  </si>
  <si>
    <t>ACJRBAD24DM1JJ0MA1B00BFAR0D</t>
  </si>
  <si>
    <t>ACGRAHA00B31TTDMA0CAF0BBS0D</t>
  </si>
  <si>
    <t>AADRAAA13EE1LLAED0A000A000D</t>
  </si>
  <si>
    <t>AADRAFA23EE1NM0M00C000A000D</t>
  </si>
  <si>
    <t>AADRAAC14EE1TT0M00A000A000D</t>
  </si>
  <si>
    <t>ACGRAAA13EE1TT0HA0A000ABB0D</t>
  </si>
  <si>
    <t>AADRAAC24EE1NN0HA00000B000D</t>
  </si>
  <si>
    <t>ACGRAFA2CEZ2MM0EP0AA00BCH0D</t>
  </si>
  <si>
    <t>AADRAAA13EE1LLAEC0A0M0A000D</t>
  </si>
  <si>
    <t>ACGRAFA83ED2LLAMA0AA00B000D</t>
  </si>
  <si>
    <t>AAERABB00D17YY0MM00000BCU0D</t>
  </si>
  <si>
    <t>AAFRBFE23DZ6YY0MM00000BCU0D</t>
  </si>
  <si>
    <t>AADRAHA00A31TNDMN0BBL0BBS0D</t>
  </si>
  <si>
    <t>AADRAFC13EE1YY0MA0C000A000D</t>
  </si>
  <si>
    <t>AADRALK23EE1QQ0MA0AA00A000D</t>
  </si>
  <si>
    <t>AADRAFC24ED2NN0SA0AA00B000D</t>
  </si>
  <si>
    <t>AADRAFC24ED2QQ0SA0AA00B000D</t>
  </si>
  <si>
    <t>ACGRAFA13EE1NNAEC0A0M0K000D</t>
  </si>
  <si>
    <t>AADRALJ24EE1HH0EC00000A000D</t>
  </si>
  <si>
    <t>ACGRAAA23EE1LL0HA00A00AAF0D</t>
  </si>
  <si>
    <t>AADRAAA13EE1TTAEC0A000A000D</t>
  </si>
  <si>
    <t>AADRAAA13EE1TT0EC0A000A000D</t>
  </si>
  <si>
    <t>AADRCAA13ED1YYAEC0C000A000D</t>
  </si>
  <si>
    <t>AADRAAA13EE1TTAMA0AA00A000D</t>
  </si>
  <si>
    <t>AAFRBAC23DS2NNAEC0AA00A000D</t>
  </si>
  <si>
    <t>AAERABB00DE2HH0EC0C000A000D</t>
  </si>
  <si>
    <t>ACGRALJ2CEE1NN0ER0CC00BAS0D</t>
  </si>
  <si>
    <t>AADRAFA25A42TTAEP0CC00BAF0D</t>
  </si>
  <si>
    <t>AADRAAA24EE1TTAEC0C000B000D</t>
  </si>
  <si>
    <t>ACGRCAC23EE1LL0ED0C000B000D</t>
  </si>
  <si>
    <t>ACGRAFA2CEZ2MM0EP0AA00BDT0D</t>
  </si>
  <si>
    <t>ACGRCAC2CEE1TT0ED0C00CD000D</t>
  </si>
  <si>
    <t>AADRAAA13EE1QQAEC0C000A000D</t>
  </si>
  <si>
    <t>AAERABB00DE1TTAEC0AA00A000D</t>
  </si>
  <si>
    <t>AAFRBAC23DS2TTAEC0AA00A000D</t>
  </si>
  <si>
    <t>ACGRAAC00EE1TTAEC0AB00A000D</t>
  </si>
  <si>
    <t>AADRAAA03C11FFAMA0CB00BAF0D</t>
  </si>
  <si>
    <t>SERVO CONTROL ASY    REPLS 72401-AB</t>
  </si>
  <si>
    <t>ACTA0A200U0B030B</t>
  </si>
  <si>
    <t>ACTC0C200A0B240B</t>
  </si>
  <si>
    <t>ACTA0C100F0A040B</t>
  </si>
  <si>
    <t xml:space="preserve">ACTA0A100F0A060B  </t>
  </si>
  <si>
    <t>AAVAAAA0B000A0B</t>
  </si>
  <si>
    <t>AAVAEAA0B000A0B</t>
  </si>
  <si>
    <t>AAVAEBA0B000A0B</t>
  </si>
  <si>
    <t>AAVAEAA0A000A0B</t>
  </si>
  <si>
    <t>AAVAABA0A000A0B</t>
  </si>
  <si>
    <t>AAVAAAA00000A0B</t>
  </si>
  <si>
    <t>AAVAEAA00000A0B</t>
  </si>
  <si>
    <t>AAVAEBA00000A0B</t>
  </si>
  <si>
    <t>AAVAEAA0CAD0B0B</t>
  </si>
  <si>
    <t>AAVAHAB0C000B0B</t>
  </si>
  <si>
    <t>AAJADCG0A000A0B</t>
  </si>
  <si>
    <t>AAJAADP0A000A0B</t>
  </si>
  <si>
    <t>AAJAAAU0ABW0B0B</t>
  </si>
  <si>
    <t>AAJAAAU0ABV0B0B</t>
  </si>
  <si>
    <t>AAJAWAY0ABC0B0B</t>
  </si>
  <si>
    <t>AAJAEEJ0A000A0B</t>
  </si>
  <si>
    <t>AAJADDB0A000A0B</t>
  </si>
  <si>
    <t>AAJADDB0A000C0B</t>
  </si>
  <si>
    <t>AAJAEAB0A000A0B</t>
  </si>
  <si>
    <t>AAJAAAB0A000A0B</t>
  </si>
  <si>
    <t>AAJABDA0A000A0B</t>
  </si>
  <si>
    <t>AAJAABA0A000A0B</t>
  </si>
  <si>
    <t>AAJABBA0AABAU0B</t>
  </si>
  <si>
    <t>AAJAAB70AAB0A0B</t>
  </si>
  <si>
    <t>AAJAAEJ0A000A0B</t>
  </si>
  <si>
    <t>AAJABCA0A000A0B</t>
  </si>
  <si>
    <t>AAJAECB0A000A0B</t>
  </si>
  <si>
    <t>AAJAECA0A000A0B</t>
  </si>
  <si>
    <t>AAJADBA0A000A0B</t>
  </si>
  <si>
    <t>AAJADDY0AAP0A0B</t>
  </si>
  <si>
    <t>AAJAEDA0B000A0B</t>
  </si>
  <si>
    <t>AAJADDB0AAJ0A0B</t>
  </si>
  <si>
    <t>AAJBFDB0ACK000B</t>
  </si>
  <si>
    <t>AAJAADA00000A0B</t>
  </si>
  <si>
    <t>AAJAABA00000A0B</t>
  </si>
  <si>
    <t>AAJABCG00000A0B</t>
  </si>
  <si>
    <t>AAJABBA00000A0B</t>
  </si>
  <si>
    <t>AAJAACG00BU0A0B</t>
  </si>
  <si>
    <t>AAJAAAB00000A0B</t>
  </si>
  <si>
    <t>AAJAAEJ00000A0B</t>
  </si>
  <si>
    <t>AAJAEAB00000A0B</t>
  </si>
  <si>
    <t>AAJADCG00000A0B</t>
  </si>
  <si>
    <t>AAJAEDA00000A0B</t>
  </si>
  <si>
    <t>AAJAADA00AF0B0B</t>
  </si>
  <si>
    <t>AAJADDA00AF0B0B</t>
  </si>
  <si>
    <t>AAJAEEJ00000B0B</t>
  </si>
  <si>
    <t>AAJAFAC00000BKB</t>
  </si>
  <si>
    <t>AAJABDA00AM0A0B</t>
  </si>
  <si>
    <t>AAJABJA00000B0B</t>
  </si>
  <si>
    <t>AAJAPDA00AF0B0B</t>
  </si>
  <si>
    <t>AAJABDA00000A0B</t>
  </si>
  <si>
    <t>AAJAAAB00000B0B</t>
  </si>
  <si>
    <t>AAJAAJA00000A0B</t>
  </si>
  <si>
    <t>AAJADDA00000A0B</t>
  </si>
  <si>
    <t>AAJAAAA00000A0B</t>
  </si>
  <si>
    <t>AAJAADA00AD0A0B</t>
  </si>
  <si>
    <t>AAJABCA00000A0B</t>
  </si>
  <si>
    <t>AAJADJB00000A0B</t>
  </si>
  <si>
    <t>AAJAALF00BP0B0B</t>
  </si>
  <si>
    <t>AAJADJA00000A0B</t>
  </si>
  <si>
    <t>AAJBCAC00000B0B</t>
  </si>
  <si>
    <t>AAJABCA00ABAU0B</t>
  </si>
  <si>
    <t>AAJAAEJ00000B0B</t>
  </si>
  <si>
    <t>AAJAAA600000B0B</t>
  </si>
  <si>
    <t>AAJAACG00000A0B</t>
  </si>
  <si>
    <t>AAJABPV00AB000B</t>
  </si>
  <si>
    <t>AAJABAA00000A0B</t>
  </si>
  <si>
    <t>AAJADBA00000A0B</t>
  </si>
  <si>
    <t>AAJBMDB00000B0B</t>
  </si>
  <si>
    <t>AAJAEEA0B000B0B</t>
  </si>
  <si>
    <t>AAJAECA00000A0B</t>
  </si>
  <si>
    <t>AAJAEEJ00000A0B</t>
  </si>
  <si>
    <t>AAJAJEJ00AB0B0B</t>
  </si>
  <si>
    <t>AAJAECA0B000A0B</t>
  </si>
  <si>
    <t>AAJAAEJ00AJ0A0B</t>
  </si>
  <si>
    <t>AAJAADA0B000A0B</t>
  </si>
  <si>
    <t>AAJAADA00AJ0A0B</t>
  </si>
  <si>
    <t>2.48 CID FIXED DIS-AXIALPISTON MOTOR</t>
  </si>
  <si>
    <t>AAJBTKB0CBF0A0B</t>
  </si>
  <si>
    <t>AAKABAJ00000A0B</t>
  </si>
  <si>
    <t>AAKAAAB0000000B</t>
  </si>
  <si>
    <t>AAKAALF00BP0B0B</t>
  </si>
  <si>
    <t>AAKAADB00000B0B</t>
  </si>
  <si>
    <t>AAKADAB00000A0B</t>
  </si>
  <si>
    <t>AAKABJ800AG0A0B</t>
  </si>
  <si>
    <t>AAKAPDA00AF0B0B</t>
  </si>
  <si>
    <t>AAKADAB00AJ0A0B</t>
  </si>
  <si>
    <t>AAJADEJ00000A0B</t>
  </si>
  <si>
    <t>AAZADAA0000A0B</t>
  </si>
  <si>
    <t>AAZAEAA0000A0B</t>
  </si>
  <si>
    <t>AAZAAAA0000A0B</t>
  </si>
  <si>
    <t>AAZAABBD000B0B</t>
  </si>
  <si>
    <t>AAZABBBDAC0A0B</t>
  </si>
  <si>
    <t>AAZADAA0AD0A0B</t>
  </si>
  <si>
    <t>AAZAEBB0000A0B</t>
  </si>
  <si>
    <t>AAZADBB0000B0B</t>
  </si>
  <si>
    <t>AAZAABB0000A0B</t>
  </si>
  <si>
    <t>AAZAJAA0000A0B</t>
  </si>
  <si>
    <t>AAZADAA0000B0B</t>
  </si>
  <si>
    <t>AAZAAAA0000B0B</t>
  </si>
  <si>
    <t>AAZAABBA000A0B</t>
  </si>
  <si>
    <t>AAZABBCBAC0A0B</t>
  </si>
  <si>
    <t>AAZABBBB000A0B</t>
  </si>
  <si>
    <t xml:space="preserve">3.00 MANUAL TANDEM PUMP  </t>
  </si>
  <si>
    <t>TANDEM PUMP 70453-LBG + 25507-LAM</t>
  </si>
  <si>
    <t xml:space="preserve">TANDEM PUMP ASY  </t>
  </si>
  <si>
    <t>Tandem Pump Assy (Single 2.77 CID PFC Piston Pum</t>
  </si>
  <si>
    <t xml:space="preserve">Tandem Pump Assy  </t>
  </si>
  <si>
    <t xml:space="preserve">2.48 SERVO TANDEM  </t>
  </si>
  <si>
    <t>TANDEM 2.48 SERVO &amp; 2.32AUTO</t>
  </si>
  <si>
    <t>M02049AC01AA0100010000000AAAAF</t>
  </si>
  <si>
    <t>M02062AC01AA0100010000000AAAAF</t>
  </si>
  <si>
    <t>M02080AC01AA0100010000000AAAAF</t>
  </si>
  <si>
    <t>M02096AC01AA0100010000000AAAAF</t>
  </si>
  <si>
    <t>M02119AC01AA0100010000000AAAAF</t>
  </si>
  <si>
    <t>M02149AC01AA0100010000000AAAAF</t>
  </si>
  <si>
    <t>M02187AC01AA0100010000000AAAAF</t>
  </si>
  <si>
    <t>M02096AC03AA0100010000000AAAAF</t>
  </si>
  <si>
    <t>M02119AC03AA0100010000000AAAAF</t>
  </si>
  <si>
    <t>M02187AC03AA0100010000000AAAAF</t>
  </si>
  <si>
    <t>M02049AC05AA0100010000000AAAAF</t>
  </si>
  <si>
    <t>M02062AC05AA0100010000000AAAAF</t>
  </si>
  <si>
    <t>M02080AC05AA0100010000000AAAAF</t>
  </si>
  <si>
    <t>M02096AC05AA0100010000000AAAAF</t>
  </si>
  <si>
    <t>M02119AC05AA0100010000000AAAAF</t>
  </si>
  <si>
    <t>M02149AC05AA0100010000000AAAAF</t>
  </si>
  <si>
    <t>M02187AC05AA0100010000000AAAAF</t>
  </si>
  <si>
    <t>M02049AC02AA0100010000000AAAAF</t>
  </si>
  <si>
    <t>M02062AC02AA0100010000000AAAAF</t>
  </si>
  <si>
    <t>M02080AC02AA0100010000000AAAAF</t>
  </si>
  <si>
    <t>M02096AC02AA0100010000000AAAAF</t>
  </si>
  <si>
    <t>M02119AC02AA0100010000000AAAAF</t>
  </si>
  <si>
    <t>M02149AC02AA0100010000000AAAAF</t>
  </si>
  <si>
    <t>M02187AC02AA0100010000000AAAAF</t>
  </si>
  <si>
    <t>M02049AC04AA0100010000000AAAAF</t>
  </si>
  <si>
    <t>M02062AC04AA0100010000000AAAAF</t>
  </si>
  <si>
    <t>M02080AC04AA0100010000000AAAAF</t>
  </si>
  <si>
    <t>M02096AC04AA0100010000000AAAAF</t>
  </si>
  <si>
    <t>M02119AC04AA0100010000000AAAAF</t>
  </si>
  <si>
    <t>M02149AC04AA0100010000000AAAAF</t>
  </si>
  <si>
    <t>M02187AC04AA0100010000000AAAAF</t>
  </si>
  <si>
    <t>M02049AC03AB0100010000000ABAAF</t>
  </si>
  <si>
    <t>M02049AC01AF0100010000000AAAAF</t>
  </si>
  <si>
    <t>M02062AC01AF0100010000000AAAAF</t>
  </si>
  <si>
    <t>M02080AC01AF0100010000000AAAAF</t>
  </si>
  <si>
    <t>M02187AC01AF0100010000000AAAAF</t>
  </si>
  <si>
    <t>M02240AC01AF0100010000000AAAAF</t>
  </si>
  <si>
    <t>M02049AC06AF0100010000000AAAAF</t>
  </si>
  <si>
    <t>M02049AC05AF0100010000000AAAAF</t>
  </si>
  <si>
    <t>M02062AC05AF0100010000000AAAAF</t>
  </si>
  <si>
    <t>M02240AC05AF0100010000000AAAAF</t>
  </si>
  <si>
    <t>M02049AC02AF0100010000000AAAAF</t>
  </si>
  <si>
    <t>M02062AC02AF0100010000000AAAAF</t>
  </si>
  <si>
    <t>M02080AC02AF0100010000000AAAAF</t>
  </si>
  <si>
    <t>M02096AC02AF0100010000000AAAAF</t>
  </si>
  <si>
    <t>M02119AC02AF0100010000000AAAAF</t>
  </si>
  <si>
    <t>M02149AC02AF0100010000000AAAAF</t>
  </si>
  <si>
    <t>M02187AC02AF0100010000000AAAAF</t>
  </si>
  <si>
    <t>M02240AC02AF0100010000000AAAAF</t>
  </si>
  <si>
    <t>M02062AC06AA0100010000000AAAAF</t>
  </si>
  <si>
    <t>M02080AC06AA0100010000000AAAAF</t>
  </si>
  <si>
    <t>M02049AC04AB0100010000000AAAAF</t>
  </si>
  <si>
    <t>M02080AC04AB0100010000000AAAAF</t>
  </si>
  <si>
    <t>M02096AC04AB0100010000000AAAAF</t>
  </si>
  <si>
    <t>M02119AC04AB0100010000000AAAAF</t>
  </si>
  <si>
    <t>M02149AC04AB0100010000000AAAAF</t>
  </si>
  <si>
    <t>M02187AC04AB0100010000000AAAAF</t>
  </si>
  <si>
    <t>M02049AC04AF0100010000000AAAAF</t>
  </si>
  <si>
    <t>M02062AC04AF0100010000000AAAAF</t>
  </si>
  <si>
    <t>M02080AC04AF0100010000000AAAAF</t>
  </si>
  <si>
    <t>M02096AC04AF0100010000000AAAAF</t>
  </si>
  <si>
    <t>M02119AC04AF0100010000000AAAAF</t>
  </si>
  <si>
    <t>M02149AC04AF0100010000000AAAAF</t>
  </si>
  <si>
    <t>M02240AC04AF0100010000000AAAAF</t>
  </si>
  <si>
    <t>M02240AC01AA0100010000000AAAAF</t>
  </si>
  <si>
    <t>M02049AC02AB0100010000000AAAAF</t>
  </si>
  <si>
    <t>M02096AC02AB0100010000000AAAAF</t>
  </si>
  <si>
    <t>M02119AC02AB0100010000000AAAAF</t>
  </si>
  <si>
    <t>M02149AC02AB0100010000000AAAAF</t>
  </si>
  <si>
    <t>M02187AC02AB0100010000000AAAAF</t>
  </si>
  <si>
    <t>M02119AF05AF0100010000000AAAAF</t>
  </si>
  <si>
    <t>M02049AF05AA0100010000000AAAAF</t>
  </si>
  <si>
    <t>M02062AF05AA0100010000000AAAAF</t>
  </si>
  <si>
    <t>M02080AF05AA0100010000000AAAAF</t>
  </si>
  <si>
    <t>M02149AF05AA0100010000000AAAAF</t>
  </si>
  <si>
    <t>M02187AF05AA0100010000000AAAAF</t>
  </si>
  <si>
    <t>M02049AF02AA0100010000000AAAAF</t>
  </si>
  <si>
    <t>M02080AF02AA0100010000000AAAAF</t>
  </si>
  <si>
    <t>M02119AF02AA0100010000000AAAAF</t>
  </si>
  <si>
    <t>M02149AF02AA0100010000000AAAAF</t>
  </si>
  <si>
    <t>M02187AF02AA0100010000000AAAAF</t>
  </si>
  <si>
    <t>M02240AF02AA0100010000000AAAAF</t>
  </si>
  <si>
    <t>M02049AF04AA0100010000000AAAAF</t>
  </si>
  <si>
    <t>M02080AF04AA0100010000000AAAAF</t>
  </si>
  <si>
    <t>M02119AF04AA0100010000000AAAAF</t>
  </si>
  <si>
    <t>M02149AF04AA0100010000000AAAAF</t>
  </si>
  <si>
    <t>M02049AF07AA0100010000000AAAAF</t>
  </si>
  <si>
    <t>M02062AF07AA0100010000000AAAAF</t>
  </si>
  <si>
    <t>M02080AF07AA0100010000000AAAAF</t>
  </si>
  <si>
    <t>M02240AC03AA0100010000000AAAAF</t>
  </si>
  <si>
    <t>M02240AC05AA0100010000000AAAAF</t>
  </si>
  <si>
    <t>M02240AC02AA0100010000000AAAAF</t>
  </si>
  <si>
    <t>M02240AC04AA0100010000000AAAAF</t>
  </si>
  <si>
    <t>M02049AH02AA0100010000000AAAAF</t>
  </si>
  <si>
    <t>M02062AH02AA0100010000000AAAAF</t>
  </si>
  <si>
    <t>M02080AH02AA0100010000000AAAAF</t>
  </si>
  <si>
    <t>M02119AH02AA0100010000000AAAAF</t>
  </si>
  <si>
    <t>M02149AH02AA0100010000000AAAAF</t>
  </si>
  <si>
    <t>M02187AH02AA0100010000000AAAAF</t>
  </si>
  <si>
    <t>M02119AH04AA0100010000000AAAAF</t>
  </si>
  <si>
    <t>M02149AH04AA0100010000000AAAAF</t>
  </si>
  <si>
    <t>M02240AH04AA0100010000000AAAAF</t>
  </si>
  <si>
    <t>M02187AF04AF0100010000000AAAAF</t>
  </si>
  <si>
    <t>M02062AC01AA01000100000AAAAAAF</t>
  </si>
  <si>
    <t>M02119AJ02AA0100010000000AAAAF</t>
  </si>
  <si>
    <t>M02080AC05AB0100010000000AAAAF</t>
  </si>
  <si>
    <t>M02049AH04AG0200010000000ABAAF</t>
  </si>
  <si>
    <t>M02062AH04AG0200010000000ABAAF</t>
  </si>
  <si>
    <t>M02096AH04AG0200010000000ABAAF</t>
  </si>
  <si>
    <t>M02119AH04AG0200010000000ABAAF</t>
  </si>
  <si>
    <t>M02149AH04AG0200010000000ABAAF</t>
  </si>
  <si>
    <t>M02187AH04AG0200010000000ABAAF</t>
  </si>
  <si>
    <t>M02240AH04AG0200010000000ABAAF</t>
  </si>
  <si>
    <t>M02049AH16AG0200010000000ABAAF</t>
  </si>
  <si>
    <t>M02062AH16AG0200010000000ABAAF</t>
  </si>
  <si>
    <t>M02080AH16AG0200010000000ABAAF</t>
  </si>
  <si>
    <t>M02096AH16AG0200010000000ABAAF</t>
  </si>
  <si>
    <t>M02119AH16AG0200010000000ABAAF</t>
  </si>
  <si>
    <t>M02149AH16AG0200010000000ABAAF</t>
  </si>
  <si>
    <t>M02187AH16AG0200010000000ABAAF</t>
  </si>
  <si>
    <t>M02240AH16AG0200010000000ABAAF</t>
  </si>
  <si>
    <t>M02187AC02AA01000100000AAAAAAF</t>
  </si>
  <si>
    <t>M02119AC03AD01000100000AAAAAAF</t>
  </si>
  <si>
    <t>M02298AJ02AA0100010000000AAAAF</t>
  </si>
  <si>
    <t>M02080AC05AB01000100000AAAAAAF</t>
  </si>
  <si>
    <t>M02187AJ02AA0100010000000AAAAF</t>
  </si>
  <si>
    <t>M02187AC03AD01000100000AAAAAAF</t>
  </si>
  <si>
    <t>M02187AJ04AA0100010000000AAAAF</t>
  </si>
  <si>
    <t>M02119AJ04AA0100010000000AAAAF</t>
  </si>
  <si>
    <t>M02062AC04AD0100010000000AAAAF</t>
  </si>
  <si>
    <t>M02298AC02AA0100010000000AAAAF</t>
  </si>
  <si>
    <t>M02298AC02AF0100010000000AAAAF</t>
  </si>
  <si>
    <t>M02298AC04AA0100010000000AAAAF</t>
  </si>
  <si>
    <t>M02298AC04AF0100010000000AAAAF</t>
  </si>
  <si>
    <t>M02187AJ01AG0200010000000ABAAF</t>
  </si>
  <si>
    <t>M02240AJ01AG0200010000000ABAAF</t>
  </si>
  <si>
    <t>M02096AF07AG0200010000000ABAAF</t>
  </si>
  <si>
    <t>M02119AF07AG0200010000000ABAAF</t>
  </si>
  <si>
    <t>M02049AC07AG0200010000000ABAAF</t>
  </si>
  <si>
    <t>M02240AC04AB0100010000000AAAAF</t>
  </si>
  <si>
    <t>M02298AC05AA0100010000000AAAAF</t>
  </si>
  <si>
    <t>M02298AJ14AA0100010000000AAAAF</t>
  </si>
  <si>
    <t>M02062AF01AA0100010000000AAAAF</t>
  </si>
  <si>
    <t>M02119AJ14AA0100010000000AAAAF</t>
  </si>
  <si>
    <t>M02149AJ14AA0100010000000AAAAF</t>
  </si>
  <si>
    <t>M02298AJ05AA0100010000000AAAAF</t>
  </si>
  <si>
    <t>M02080AC02AA01000100000AAAAAAF</t>
  </si>
  <si>
    <t>M02240AJ02AA0100010000000AAAAF</t>
  </si>
  <si>
    <t>M02049AH03AG0200010000000ABAAF</t>
  </si>
  <si>
    <t>M02119AH03AG0200010000000ABAAF</t>
  </si>
  <si>
    <t>M02080AJ04AD0100010000000AAAAF</t>
  </si>
  <si>
    <t>M02149AF07AA0100010000000AAAAF</t>
  </si>
  <si>
    <t>M02049AF02AB0100010000000AAAAF</t>
  </si>
  <si>
    <t>M02187AH04AE0200010000000ABAAF</t>
  </si>
  <si>
    <t>M02049AH16AE0200010000000ABAAF</t>
  </si>
  <si>
    <t>M02062AH16AE0200010000000ABAAF</t>
  </si>
  <si>
    <t>M02080AH16AE0200010000000ABAAF</t>
  </si>
  <si>
    <t>M02096AH16AE0200010000000ABAAF</t>
  </si>
  <si>
    <t>M02119AH16AE0200010000000ABAAF</t>
  </si>
  <si>
    <t>M02298AH16AE0200010000000ABAAF</t>
  </si>
  <si>
    <t>M02187AC17AA0100010000000ACAAF</t>
  </si>
  <si>
    <t>M02298AC17AA0100010000000ACAAF</t>
  </si>
  <si>
    <t>M02149AJ04AA0100010000000AAAAF</t>
  </si>
  <si>
    <t>M02298AH02AA0100010000000AAAAF</t>
  </si>
  <si>
    <t>M02080AC18AA0100010000000AAAAF</t>
  </si>
  <si>
    <t>M02049AC16AG0200010000000ABAAF</t>
  </si>
  <si>
    <t>M02298AJ02AG0200010000000ABAAF</t>
  </si>
  <si>
    <t>M02149AJ02AG0200010000000ABAAF</t>
  </si>
  <si>
    <t>M02049AC19AG0200010000000ABAAF</t>
  </si>
  <si>
    <t>M02240AC17AA0100010000000AAAAF</t>
  </si>
  <si>
    <t>M02149AF05AG0200010000000ABAAF</t>
  </si>
  <si>
    <t>M02080AC08AA0100010000000AAAAF</t>
  </si>
  <si>
    <t>M02240AC17AA0100010000000ACAAF</t>
  </si>
  <si>
    <t>M02062AF07AB0100010000000AAAAF</t>
  </si>
  <si>
    <t>M02187AJ03AG0200010000000ABAAF</t>
  </si>
  <si>
    <t>M02096AC01AG0200010000000ABAAF</t>
  </si>
  <si>
    <t>M02298AJ04AG0200010000000ABAAF</t>
  </si>
  <si>
    <t>M02049AC15AA0100010000000AAAAF</t>
  </si>
  <si>
    <t>M02062AC15AA0100010000000AAAAF</t>
  </si>
  <si>
    <t>M02096AC15AA0100010000000AAAAF</t>
  </si>
  <si>
    <t>M02149AC15AA0100010000000AAAAF</t>
  </si>
  <si>
    <t>M02187AC15AA0100010000000AAAAF</t>
  </si>
  <si>
    <t>M02187AW03AD0100010000000ABAAF</t>
  </si>
  <si>
    <t>M02298AH16AG0200010000000ABAAF</t>
  </si>
  <si>
    <t>M02187AC16AG0200010000000AAAAF</t>
  </si>
  <si>
    <t>M02240AH16AG0200010000300ABAAF</t>
  </si>
  <si>
    <t>M02149AC05AG0200010000000ABAAF</t>
  </si>
  <si>
    <t>M02187AC02AD0100010000000ABAAF</t>
  </si>
  <si>
    <t>M02096AC04AA0100020000000AAAAF</t>
  </si>
  <si>
    <t>M02062AC02AD0100010000000AAAAF</t>
  </si>
  <si>
    <t>M02119AH03AG0200030000300AAAAF</t>
  </si>
  <si>
    <t>M02119AJ05AA0100010000000AAAAF</t>
  </si>
  <si>
    <t>M02187AH03AG0200010000000ABAAF</t>
  </si>
  <si>
    <t>M02096AH03AG0200010000000ABAAF</t>
  </si>
  <si>
    <t>M02149AC02AG02000100000AAAAAAF</t>
  </si>
  <si>
    <t>M02062AJ05AE0200010000000AAAAF</t>
  </si>
  <si>
    <t>M02240AC03AB0100010000000AAAAF</t>
  </si>
  <si>
    <t>M02298AJ04AA0100010000000AAAAF</t>
  </si>
  <si>
    <t>M02049AC16AG02000100000AAABAAF</t>
  </si>
  <si>
    <t>M02187AJ02AD0100010000000AAAAF</t>
  </si>
  <si>
    <t>M02187AJ02AE0200010000300ABAAF</t>
  </si>
  <si>
    <t>M02240AJ02AE0200010000300ABAAF</t>
  </si>
  <si>
    <t>M02096AJ02AA0100010000000AAAAF</t>
  </si>
  <si>
    <t>M02149AJ02AA0100010000000AAAAF</t>
  </si>
  <si>
    <t>M02119AC19AG0200010AA0000AAAAF</t>
  </si>
  <si>
    <t>M02149AH03AG0200030000000AAAAF</t>
  </si>
  <si>
    <t>M02049AC07AB0100010000000AAAAF</t>
  </si>
  <si>
    <t>M02240AC19AG0200010000000ABAAF</t>
  </si>
  <si>
    <t>M02298AH04AG0200010000000ABAAF</t>
  </si>
  <si>
    <t>M02119AH02AG0200010000000AAAAF</t>
  </si>
  <si>
    <t>M02149AS03AD0100010000000ABAAF</t>
  </si>
  <si>
    <t>M02149AC01AA01000100000AAAAAAF</t>
  </si>
  <si>
    <t>M02096AH16AG0200010AA0000ABAAF</t>
  </si>
  <si>
    <t>M02240AJ02AG0200010000000AAAAF</t>
  </si>
  <si>
    <t>M02049AJ04AA0100010000000ABAAF</t>
  </si>
  <si>
    <t>M02096AJ04AA0100010000000ABAAF</t>
  </si>
  <si>
    <t>M02187AH02AG0200030000000AAAAF</t>
  </si>
  <si>
    <t>M02187AC04AG0200010000000AAAAF</t>
  </si>
  <si>
    <t>M02096AJ02AA0100010AA0000AAAAF</t>
  </si>
  <si>
    <t>M02187AH02AG0200010000000AAAAF</t>
  </si>
  <si>
    <t>M02096AC04AE0200010000000AAAAF</t>
  </si>
  <si>
    <t>M02062AJ16AG0200010000000ABAAF</t>
  </si>
  <si>
    <t>M02096AC02AF0100010AA0000AAAAF</t>
  </si>
  <si>
    <t>M02049AF01AA0100010000000ABAAF</t>
  </si>
  <si>
    <t>M02240AC09AA0100010000000AAAAF</t>
  </si>
  <si>
    <t>M02049AJ05AA0400010000000ABAAF</t>
  </si>
  <si>
    <t>M02049AC02AA0400010000000AAAAF</t>
  </si>
  <si>
    <t>M02119AH16AA0100010000000ABAAF</t>
  </si>
  <si>
    <t>M02119AH16AD0100010000000ABAAF</t>
  </si>
  <si>
    <t>M02096AC25AA0100010000000AAAAF</t>
  </si>
  <si>
    <t>M02187AH22AG0200014000000ABAAF</t>
  </si>
  <si>
    <t>M02240AC16AG0200010000000ABAAF</t>
  </si>
  <si>
    <t>M02096AC02AA0100010AA0000AAAAF</t>
  </si>
  <si>
    <t>M02062AH02AE0200010000000AAAAF</t>
  </si>
  <si>
    <t>M02240AH16AG0200014001200ABAAF</t>
  </si>
  <si>
    <t>M02096AH02AE0200010000000AAAAF</t>
  </si>
  <si>
    <t>M02298AJ16AG0200010000000ABAAF</t>
  </si>
  <si>
    <t>M02240AJ04AA0100010000000AAAAF</t>
  </si>
  <si>
    <t>M02049AC15AA0100010AA0000AAAAF</t>
  </si>
  <si>
    <t>M02119AC15AA0100010AA0000AAAAF</t>
  </si>
  <si>
    <t>M02062AJ16AG02000100000AAABAAF</t>
  </si>
  <si>
    <t>M02240AH16AD0100010000000ABAAF</t>
  </si>
  <si>
    <t>M02187AC16AA0100010000000AAAAF</t>
  </si>
  <si>
    <t>M02149AA30AH0700230000300ABAAF</t>
  </si>
  <si>
    <t>M02096AJ16AG0200010000000ABAAF</t>
  </si>
  <si>
    <t>M02096AC16AG0200010000000ABAAF</t>
  </si>
  <si>
    <t>M02062AC15AA0100010000000ACAAF</t>
  </si>
  <si>
    <t>M02149AC17AA0100010000000ABAAF</t>
  </si>
  <si>
    <t>M02049AC12AA0100010000000ACAAF</t>
  </si>
  <si>
    <t>M02149AA30AB0700030000300ABAAF</t>
  </si>
  <si>
    <t>M02096AJ04AA0100010000000AAAAF</t>
  </si>
  <si>
    <t>M02240AC02AA0100010AA0000AAAAF</t>
  </si>
  <si>
    <t>M02096AH16AA0100010000000AAAAF</t>
  </si>
  <si>
    <t>M02187AC01AG0200010000000ABAAF</t>
  </si>
  <si>
    <t>M02096AJ04AD01000100000AAAAAAF</t>
  </si>
  <si>
    <t>M02119AJ04AG0200010000000AAAAF</t>
  </si>
  <si>
    <t>M02240AH03AA0100014000000ABAAF</t>
  </si>
  <si>
    <t>M02119AC01AG0200010000000ABAAF</t>
  </si>
  <si>
    <t>M02187AJ05AG0200010000000ABAAF</t>
  </si>
  <si>
    <t>M02187AJ04AG0200010000000ABAAF</t>
  </si>
  <si>
    <t>M02049AJ16AG02000100000AAABAAF</t>
  </si>
  <si>
    <t>M02096AJ16AG02000100000AAABAAF</t>
  </si>
  <si>
    <t>M02062AJ04AA0100010000000AAAAF</t>
  </si>
  <si>
    <t>M02187AH16AD0100010000000AAAAF</t>
  </si>
  <si>
    <t>M02187AJ19AG0200010000000ABAAF</t>
  </si>
  <si>
    <t>M02096AC05AG0200010000000AAAAF</t>
  </si>
  <si>
    <t>M02049AC02AA0100010000000ABAAF</t>
  </si>
  <si>
    <t>M02187AH02AB0100010000000AAAAF</t>
  </si>
  <si>
    <t>M02080AH22AG0200010000000ABAAF</t>
  </si>
  <si>
    <t>M02049AC04AA0100010AA0000ABAAF</t>
  </si>
  <si>
    <t>M02062AC04AG0200010000000AAAAF</t>
  </si>
  <si>
    <t>M02080AC04AG0200010000000AAAAF</t>
  </si>
  <si>
    <t>M02149AH02AG0200010000000ABAAF</t>
  </si>
  <si>
    <t>M02298AC02AA0100010000000ACAAF</t>
  </si>
  <si>
    <t>M02149AJ16AE0200010000000AAAAF</t>
  </si>
  <si>
    <t>M02080AC07AG0200010000000AAAAF</t>
  </si>
  <si>
    <t>M02096AH02AE0200010000300AAAAF</t>
  </si>
  <si>
    <t>M02062AH04AG0200010000300ABAAF</t>
  </si>
  <si>
    <t>M02240AJ16AA0100010000000AAAAF</t>
  </si>
  <si>
    <t>M02080AC07AA0100010000000AAAAF</t>
  </si>
  <si>
    <t>M02119AJ01AG0200010000000AAAAF</t>
  </si>
  <si>
    <t>M02062AC07AA0100010000000AAAAF</t>
  </si>
  <si>
    <t>M02149AH16AA0100010000000ABAAF</t>
  </si>
  <si>
    <t>M02187AH31AG0200010000000ABAAF</t>
  </si>
  <si>
    <t>M02119AJ02AG0200010000000AAAAF</t>
  </si>
  <si>
    <t>M02096AC01AD0100010000000AAAAF</t>
  </si>
  <si>
    <t>M02187AJ02AG0200010000000ABAAF</t>
  </si>
  <si>
    <t>M02119AC05AA0100010000000ABAAF</t>
  </si>
  <si>
    <t>M02119AH03AG0200014000000ABAAF</t>
  </si>
  <si>
    <t>M02149AC01AA0100010000000ABAAF</t>
  </si>
  <si>
    <t>M02062AC19AG0200010000000ABAAF</t>
  </si>
  <si>
    <t>M02149AH02AE0200010000300AAAAF</t>
  </si>
  <si>
    <t>M02149AC04AA0100010AD0000AAAAF</t>
  </si>
  <si>
    <t>M02049AH04AG0200010AA0000ABAAF</t>
  </si>
  <si>
    <t>M02149AJ16AG0200010000000ABAAF</t>
  </si>
  <si>
    <t>M02119AC04AA0100011000000AAAAF</t>
  </si>
  <si>
    <t>M02240AJ16AG0200010000000ABAAF</t>
  </si>
  <si>
    <t>M02049AH16AS0200010000000ABAAF</t>
  </si>
  <si>
    <t>M02062AH16AS0200010000000ABAAF</t>
  </si>
  <si>
    <t>M02080AH16AS0200010000000ABAAF</t>
  </si>
  <si>
    <t>M02096AH16AS0200010000000ABAAF</t>
  </si>
  <si>
    <t>M02119AH16AS0200010000000ABAAF</t>
  </si>
  <si>
    <t>M02149AH16AS0200010000000ABAAF</t>
  </si>
  <si>
    <t>M02187AH16AS0200010000000ABAAF</t>
  </si>
  <si>
    <t>M02240AH16AS0200010000000ABAAF</t>
  </si>
  <si>
    <t>M02187AC03AA0102410000000AAAAF</t>
  </si>
  <si>
    <t>M02298AF07AA0100010000000ABAAF</t>
  </si>
  <si>
    <t>M02049AC02AA0100010AA0000AAAAF</t>
  </si>
  <si>
    <t>M02062AC02AA0100010AA0000AAAAF</t>
  </si>
  <si>
    <t>M02080AC02AA0100010AA0000AAAAF</t>
  </si>
  <si>
    <t>M02119AC02AA0100010AA0000AAAAF</t>
  </si>
  <si>
    <t>M02149AC02AA0100010AA0000AAAAF</t>
  </si>
  <si>
    <t>M02187AC02AA0100010AA0000AAAAF</t>
  </si>
  <si>
    <t>M02298BA32AD0100010000000ABAAF</t>
  </si>
  <si>
    <t>M02096AH19AG0200010000000ABAAF</t>
  </si>
  <si>
    <t>M02062AC16AG0200010000000ABAAF</t>
  </si>
  <si>
    <t>M02080AC16AG0200010000000ABAAF</t>
  </si>
  <si>
    <t>M02119AC16AG0200010000000ABAAF</t>
  </si>
  <si>
    <t>M02149AC16AG0200010000000ABAAF</t>
  </si>
  <si>
    <t>M02187AC16AG0200010000000ABAAF</t>
  </si>
  <si>
    <t>M02298AC16AG0200010000000ABAAF</t>
  </si>
  <si>
    <t>M02240AC04AA0100011000000AAAAF</t>
  </si>
  <si>
    <t>M02187AH16AD0100010000000ABAAF</t>
  </si>
  <si>
    <t>M02062AH05AA0100010000000AAAAF</t>
  </si>
  <si>
    <t>M02096AC07AA0100010000000AAAAF</t>
  </si>
  <si>
    <t>M02119AC16AA0100010000000AAAAF</t>
  </si>
  <si>
    <t>M02187AH16AA0100010000000ABAAF</t>
  </si>
  <si>
    <t>M02187AJ04AA08000100000AAAEAAF</t>
  </si>
  <si>
    <t>M02096AJ16AN0200010000000ABAAF</t>
  </si>
  <si>
    <t>M02049AC01AA0100010000000ABAAF</t>
  </si>
  <si>
    <t>M02096AH05AG0200010000000ABAAF</t>
  </si>
  <si>
    <t>M02080AH19AG0200010000000AAAAF</t>
  </si>
  <si>
    <t>M02149AJ04AA0100010000000ABAAF</t>
  </si>
  <si>
    <t>M02149AC04AA0100010000000ABAAF</t>
  </si>
  <si>
    <t>M02119AC01AA0100010000000ABAAF</t>
  </si>
  <si>
    <t>M02080AH02AA0100011000000AAAAF</t>
  </si>
  <si>
    <t>M02149AC02AA0100010000000ABAAF</t>
  </si>
  <si>
    <t>M02240AA30AH0701930000300AFAAF</t>
  </si>
  <si>
    <t>M02096AC01AF0100010AA0000AAAAF</t>
  </si>
  <si>
    <t>M02096AC19AG0200010000000AAAAF</t>
  </si>
  <si>
    <t>M02096AH16AG0200010000300ABAAF</t>
  </si>
  <si>
    <t>M02149AH03AG0200010000000AAAAF</t>
  </si>
  <si>
    <t>M02149AJ03AA0100014000000AAAAF</t>
  </si>
  <si>
    <t>M02080AH19AG0200010AA0000ABAAF</t>
  </si>
  <si>
    <t>M02096AC05AA01000100000AAAAAAF</t>
  </si>
  <si>
    <t>M02080AC19AG0200010000000AAAAF</t>
  </si>
  <si>
    <t>M02062AC02AA0100010AA0000ACAAF</t>
  </si>
  <si>
    <t>M02240AJ16AE0200010000300ABAAF</t>
  </si>
  <si>
    <t>M02055AC01AA0100010000000ABAAF</t>
  </si>
  <si>
    <t>M02187AH04AA0100010000000ABAAF</t>
  </si>
  <si>
    <t>M02187AC04AA0100010001900ATAAF</t>
  </si>
  <si>
    <t>M02049AH16AA0100010000000ABAAF</t>
  </si>
  <si>
    <t>M02187AJ02AA0100010000000ABAAF</t>
  </si>
  <si>
    <t>M02080AJ04AD01000100000AAABAAF</t>
  </si>
  <si>
    <t>M02149AH22AG0200014000000ABAAF</t>
  </si>
  <si>
    <t>M02149AJ04AA08000100000AAAAAAF</t>
  </si>
  <si>
    <t>M02240AC01AG0200010000000AAAAF</t>
  </si>
  <si>
    <t>M02298AC04AB0100010000000AAAAF</t>
  </si>
  <si>
    <t>M02240AC04AA0100014000000AAAAF</t>
  </si>
  <si>
    <t>M02062AF02AG02000100000AAAAAAF</t>
  </si>
  <si>
    <t>M02049AC19AN0200010000000ABAAF</t>
  </si>
  <si>
    <t>M02240AC04AA0100010001900ATAAF</t>
  </si>
  <si>
    <t>M02149AC05AA01000100000AAAAAAF</t>
  </si>
  <si>
    <t>M02119AJ16AG0200010000000ABAAF</t>
  </si>
  <si>
    <t>M02080AH04AD0100010000000ABAAF</t>
  </si>
  <si>
    <t>M02096AJ04AG0200010000000ABAAF</t>
  </si>
  <si>
    <t>M02240AJ42AG0200010000000ABAAF</t>
  </si>
  <si>
    <t>M02240AU16AG0200010000000ABAAF</t>
  </si>
  <si>
    <t>M02149AJ04AG0200010000000AAAAF</t>
  </si>
  <si>
    <t>M02119AC19AG0200010000000AAAAF</t>
  </si>
  <si>
    <t>M02080AC02AG0200010000000AAAAF</t>
  </si>
  <si>
    <t>M02149AJ04AD0100010000000ABAAF</t>
  </si>
  <si>
    <t>M02119AC04AG0200010000000ABAAF</t>
  </si>
  <si>
    <t>M02096AH01AA0100010000000AAAAF</t>
  </si>
  <si>
    <t>M02080AJ02AA0100010000000AAAAF</t>
  </si>
  <si>
    <t>M02298AC15AA0100010000000AAAAF</t>
  </si>
  <si>
    <t>M02298AC02AA0100010000000ABAAF</t>
  </si>
  <si>
    <t>M02119AH16AA0100010000000AFAAF</t>
  </si>
  <si>
    <t>M02240AF04AA0100010000000ABAAF</t>
  </si>
  <si>
    <t>M02096AW43AG0200010000000ABAAF</t>
  </si>
  <si>
    <t>M02062AJ04AA0103610000000ABAAF</t>
  </si>
  <si>
    <t>M02119AC15AA0100010AD0000AAAAF</t>
  </si>
  <si>
    <t>M02149AC15AA0100010AD0000AAAAF</t>
  </si>
  <si>
    <t>M02298AJ42AG0200010000000ABAAF</t>
  </si>
  <si>
    <t>M02119AW43AG0200010000000ABAAF</t>
  </si>
  <si>
    <t>M02240AJ04AB0100010000000ABAAF</t>
  </si>
  <si>
    <t>M02119AC02AA01000100000AAABAAF</t>
  </si>
  <si>
    <t>M02187AJ04AE02000100000AAABAAF</t>
  </si>
  <si>
    <t>M02080AJ04AD0100010000000ABAAF</t>
  </si>
  <si>
    <t>M02187AJ03AA0100010000000AAAAF</t>
  </si>
  <si>
    <t>M02149AC04AG0200010000000ABAAF</t>
  </si>
  <si>
    <t>M02187AH16AG0200010000300ABAAF</t>
  </si>
  <si>
    <t>M02240AF04AA01000100000AAAAAAF</t>
  </si>
  <si>
    <t>M02187AJ04AG0203610000000ABAAF</t>
  </si>
  <si>
    <t>M02187AC02AA0100010000000AVAAF</t>
  </si>
  <si>
    <t>M02240AC02AA0100010000000AVAAF</t>
  </si>
  <si>
    <t>M02240AH04AA0103410000000AAAAF</t>
  </si>
  <si>
    <t>M02080AC06AA0100010000000ABAAF</t>
  </si>
  <si>
    <t>M02119AC04AA01000100000ACABAAF</t>
  </si>
  <si>
    <t>M02062AC06AA0100010000000ABAAF</t>
  </si>
  <si>
    <t>M02187AJ33AA0100010000000AAAAF</t>
  </si>
  <si>
    <t>M02062AC16AA0100010000000AAAAF</t>
  </si>
  <si>
    <t>M02187AJ16AG0200010000000ABAAF</t>
  </si>
  <si>
    <t>M02119AH01AA0100010000000AAAAF</t>
  </si>
  <si>
    <t>M02187AC16AE0200010000000AAAAF</t>
  </si>
  <si>
    <t>M02080AH16AG0200012000000ABAAF</t>
  </si>
  <si>
    <t>M02240AC01AG0200010000000ABAAF</t>
  </si>
  <si>
    <t>M02080AC15AA0100010AD0000AAAAF</t>
  </si>
  <si>
    <t>M02096AC19AG0200010000000ABAAF</t>
  </si>
  <si>
    <t>M02187AC19AG0200010000000ABAAF</t>
  </si>
  <si>
    <t>M02119AH16AG0200010000000ACAAF</t>
  </si>
  <si>
    <t>M02062AF07AG0200020000000ABAAF</t>
  </si>
  <si>
    <t>M02149AC02AA0100010AD0000AAAAF</t>
  </si>
  <si>
    <t>M02187AC02AA0100010AD0000AAAAF</t>
  </si>
  <si>
    <t>M02049AC05AG0200010000000AAAAF</t>
  </si>
  <si>
    <t>M02080AH02AG0200010000000ACAAF</t>
  </si>
  <si>
    <t>M02240AJ42AG0200010000000BCAAF</t>
  </si>
  <si>
    <t>M02187AC17AA0100010AD0000AAAAF</t>
  </si>
  <si>
    <t>M02187AC04AB0100013000000AAAAF</t>
  </si>
  <si>
    <t>M02149AJ04AE02000100000AAABAAF</t>
  </si>
  <si>
    <t>M02062AH05AE0200010000000ABAAF</t>
  </si>
  <si>
    <t>M02149AH16AG0200010000800ABAAF</t>
  </si>
  <si>
    <t>M02187AH16AG0200010000800ABAAF</t>
  </si>
  <si>
    <t>M02187AH05AA0100010000000ABAAF</t>
  </si>
  <si>
    <t>M02298AJ16AD0100010000000ABAAF</t>
  </si>
  <si>
    <t>M02119AJ04AF0100010000000AAAAF</t>
  </si>
  <si>
    <t>M02149AH16AG0200011000000ABAAF</t>
  </si>
  <si>
    <t>M02149AH16AG0200011AG0000ABAAF</t>
  </si>
  <si>
    <t>M02080AC07AA0100010000000ABAAF</t>
  </si>
  <si>
    <t>M02062AJ04AG0200010000000AAAAF</t>
  </si>
  <si>
    <t>M02062AC19AN0200010000000ABAAF</t>
  </si>
  <si>
    <t>M02096AC19AG0200010000300AAAAF</t>
  </si>
  <si>
    <t>M02080AC19AG0200010000000ABAAF</t>
  </si>
  <si>
    <t>M02062AJ16AN0200010000000ABAAF</t>
  </si>
  <si>
    <t>M02298AC01AA0100011000000ABAAF</t>
  </si>
  <si>
    <t>M02119AC04AA0100013000000AAAAF</t>
  </si>
  <si>
    <t>M02049AC04AA0100010001900ATAAF</t>
  </si>
  <si>
    <t>M02119AC46AA0100013000000ABAAF</t>
  </si>
  <si>
    <t>M02119AC01AA0100010AD0000ABAAF</t>
  </si>
  <si>
    <t>M02080AF07AA0100010AD0000AAAAF</t>
  </si>
  <si>
    <t>M02049AJ04AA0100010000000AAAAF</t>
  </si>
  <si>
    <t>M02187AJ04AG02000100000AAABAAF</t>
  </si>
  <si>
    <t>M02062AC02AA0100012000000ABAAF</t>
  </si>
  <si>
    <t>M02062AH16AN0200010000000ABAAF</t>
  </si>
  <si>
    <t>M02149AC01AA0100010AD0000ABAAF</t>
  </si>
  <si>
    <t>M02187AC01AA0100010AD0000ABAAF</t>
  </si>
  <si>
    <t>M02149AH03AG0200014000000ABAAF</t>
  </si>
  <si>
    <t>M02049AH16AN0200010000000AAAAF</t>
  </si>
  <si>
    <t>M02119AC02AB0100013000000AAAAF</t>
  </si>
  <si>
    <t>M02049AC19AG0200010000300ABAAF</t>
  </si>
  <si>
    <t>M02096AH16AG0200010AD0000ABAAF</t>
  </si>
  <si>
    <t>M02080AJ04AA0103610000000ABAAF</t>
  </si>
  <si>
    <t>M02055AC19AG0200010000000ABAAF</t>
  </si>
  <si>
    <t>M02187AJ04AA08000130000AAAEAAF</t>
  </si>
  <si>
    <t>M02149AH04AS02000300003ABAAAAF</t>
  </si>
  <si>
    <t>M02149AJ04AG0203610000000ABAAF</t>
  </si>
  <si>
    <t>M02149AH04AE0200010000000AAAAF</t>
  </si>
  <si>
    <t>M02062AC02AA0100015000000AAAAF</t>
  </si>
  <si>
    <t>M02062AC04AG0200013000000AAAAF</t>
  </si>
  <si>
    <t>M02049AH19AG0200010000000ABAAF</t>
  </si>
  <si>
    <t>M02062AF07AD0100010000000ABAAF</t>
  </si>
  <si>
    <t>M02119AC04AA0100010000000ABAAF</t>
  </si>
  <si>
    <t>M02049AC19AG0200011000000ABAAF</t>
  </si>
  <si>
    <t>M02062AC02AA0100033000300ABAAF</t>
  </si>
  <si>
    <t>M02080AC04AA0100010AA0000ABAAF</t>
  </si>
  <si>
    <t>M02080AH41AS02000300003ABAAAAF</t>
  </si>
  <si>
    <t>M02119AH04AS02000300003ABAAAAF</t>
  </si>
  <si>
    <t>M02080AF07AG02000100000ABAAAAF</t>
  </si>
  <si>
    <t>M02062AH04AE0200013000000ABAAF</t>
  </si>
  <si>
    <t>M02149AC19AC0100010000000AAAAF</t>
  </si>
  <si>
    <t>M02119AF04AG0200010000000ABAAF</t>
  </si>
  <si>
    <t>M02149AC19AG0200010000000ABAAF</t>
  </si>
  <si>
    <t>M02062AC19AE0200010000000ABAAF</t>
  </si>
  <si>
    <t>M02096AH16AS0200010000000AAAAF</t>
  </si>
  <si>
    <t>M02119AH16AS0200010000000AAAAF</t>
  </si>
  <si>
    <t>M02096AC19AS0200010000000AAAAF</t>
  </si>
  <si>
    <t>M02062AC19AS0200010000000AAAAF</t>
  </si>
  <si>
    <t>M02080AF07AA0100010AG0000AAAAF</t>
  </si>
  <si>
    <t>M02049AH16AG0200010000000ATAAF</t>
  </si>
  <si>
    <t>M02080AH19AG0000010000000ABAAF</t>
  </si>
  <si>
    <t>M02096AJ02AA0100010000000BJAAF</t>
  </si>
  <si>
    <t>M02080AH19AG0200014000000AAAAF</t>
  </si>
  <si>
    <t>M02119AC05AG0200010000000AAAAF</t>
  </si>
  <si>
    <t>M02187AC04AA0100013001900ATAAF</t>
  </si>
  <si>
    <t>M02096AC16AS0200013000000AAAAF</t>
  </si>
  <si>
    <t>M02119AC19AS0200013000000AAAAF</t>
  </si>
  <si>
    <t>M02149AC19AS0200013000000AAAAF</t>
  </si>
  <si>
    <t>M02187AC16AG02000100000AAABAAF</t>
  </si>
  <si>
    <t>M02149AH41AG0200010000000AAAAF</t>
  </si>
  <si>
    <t>M02119AJ16AN0200012000000ABAAF</t>
  </si>
  <si>
    <t>M02298AC16AA0100010000000ABAAF</t>
  </si>
  <si>
    <t>M02055AC02AA0100015000000AAAAF</t>
  </si>
  <si>
    <t>M02119AC19AA0100010000000AAAAF</t>
  </si>
  <si>
    <t>M02062AF05AG0200010000300ABAAF</t>
  </si>
  <si>
    <t>M02187AC16AG0203611000000AAAAF</t>
  </si>
  <si>
    <t>M02062AC05AG0200010000300ABAAF</t>
  </si>
  <si>
    <t>M02298AC02AA0100011000000ACAAF</t>
  </si>
  <si>
    <t>M02049AC02AA0100010AD0000AAAAF</t>
  </si>
  <si>
    <t>M02049AF08AD0100010000000AAAAF</t>
  </si>
  <si>
    <t>M02187AC16AS0200013000000AAAAF</t>
  </si>
  <si>
    <t>M02119AJ02AG0200010000000ABAAF</t>
  </si>
  <si>
    <t>M02096AC19AG0200010AC0000AAAAF</t>
  </si>
  <si>
    <t>M02096AC05AG02000130000ABAAAAF</t>
  </si>
  <si>
    <t>M02119AH19AG0200011000000AAAAF</t>
  </si>
  <si>
    <t>M02119AH19AG0000011000000AAAAF</t>
  </si>
  <si>
    <t>M02119AH16AG0200011000000AAAAF</t>
  </si>
  <si>
    <t>M02096AJ16AG0200013000000AAAAF</t>
  </si>
  <si>
    <t>M02298AJ16AG0200013000000AAAAF</t>
  </si>
  <si>
    <t>M02049AC02AA0100010AD0000ABAAF</t>
  </si>
  <si>
    <t>M02080AC02AF0100010AE0000AAAAF</t>
  </si>
  <si>
    <t>M02187AH02AA0100010AE0000AAAAF</t>
  </si>
  <si>
    <t>M02096AC16AG0200013000000AAAAF</t>
  </si>
  <si>
    <t>M02062AH16AS0200013000000ABAAF</t>
  </si>
  <si>
    <t>M02080AH16AS0200013000000ABAAF</t>
  </si>
  <si>
    <t>M02096AH16AS0200013000000ABAAF</t>
  </si>
  <si>
    <t>M02119AH16AS0200013000000ABAAF</t>
  </si>
  <si>
    <t>M02149AH16AS0200013000000ABAAF</t>
  </si>
  <si>
    <t>M02187AH16AS0200013000000ABAAF</t>
  </si>
  <si>
    <t>M02062AJ02AF0100020AH0800AAAAF</t>
  </si>
  <si>
    <t>M02119AH16AG0200011AD00ABABAAF</t>
  </si>
  <si>
    <t>M02025AH16AE0200013000000ABAAF</t>
  </si>
  <si>
    <t>M02025AH16AE02000130000ABABAAF</t>
  </si>
  <si>
    <t>M02080AH16AN0200010000000ABAAF</t>
  </si>
  <si>
    <t>M02062AC05AA0100013000000AAAAF</t>
  </si>
  <si>
    <t>M02119AC16AS0200013000000AAAAF</t>
  </si>
  <si>
    <t>M02049AH16AG0200010000000AAAAF</t>
  </si>
  <si>
    <t>M02119AH16AA0100013000000ABAAF</t>
  </si>
  <si>
    <t>M02096AC19AG0200013000000ABAAF</t>
  </si>
  <si>
    <t>M02062AC16AN0200010000000ABAAF</t>
  </si>
  <si>
    <t>M02096AC16AN0200010000000ABAAF</t>
  </si>
  <si>
    <t>M02119AC16AN0200010000000ABAAF</t>
  </si>
  <si>
    <t>M02062AC05AG0200010AG0000AFAAF</t>
  </si>
  <si>
    <t>M02080AC41AS0200036000000ABAAF</t>
  </si>
  <si>
    <t>M02240AH41AG0200010000000ABAAF</t>
  </si>
  <si>
    <t>M02298AH41AG0200010000000ABAAF</t>
  </si>
  <si>
    <t>M02149AS03AA0100014000000ABAAF</t>
  </si>
  <si>
    <t>M02240AH16AN0200010000000ABAAF</t>
  </si>
  <si>
    <t>M02298AJ16AD0100013000000AAABF</t>
  </si>
  <si>
    <t>M02298AC02AG0200010000000AAAAF</t>
  </si>
  <si>
    <t>M02119AH04AN0200016000000ABAAF</t>
  </si>
  <si>
    <t>M02025AH16AG0200010000000ABAAF</t>
  </si>
  <si>
    <t>M02040AH16AG0200010000000ABAAF</t>
  </si>
  <si>
    <t>M02096AH04AG0200013000000ABAAF</t>
  </si>
  <si>
    <t>M02149AC19AG0200010AC0000AAAAF</t>
  </si>
  <si>
    <t>M02025AC19AG0200013000000ABAAF</t>
  </si>
  <si>
    <t>M02119AS16AA0100013000000ABAAF</t>
  </si>
  <si>
    <t>M02080AH16AG0200010AG0000ABAAF</t>
  </si>
  <si>
    <t>M02119AH04AG0200013000000ABAAF</t>
  </si>
  <si>
    <t>M02040AH16AE0200013000000ABAAF</t>
  </si>
  <si>
    <t>M02040AH16AE02000130000ABABAAF</t>
  </si>
  <si>
    <t>M02021AH16AE0200013000000ABAAF</t>
  </si>
  <si>
    <t>M02021AH16AE02000130000ABABAAF</t>
  </si>
  <si>
    <t>M02119AJ04AD01000100000AAAAAAF</t>
  </si>
  <si>
    <t>M02187AJ05AG0200013000000ABAAF</t>
  </si>
  <si>
    <t>M02049AC19AG0200010AA0000ABAAF</t>
  </si>
  <si>
    <t>M02187AJ16AG0200013000000ABAAF</t>
  </si>
  <si>
    <t>M02119AJ03AG0200016000000ABAAF</t>
  </si>
  <si>
    <t>M02080AC04AG0200010AD0000ABAAF</t>
  </si>
  <si>
    <t>M02187AH16AG0200016000300ABAAF</t>
  </si>
  <si>
    <t>M02096AC19AS0200013000000AAAAF</t>
  </si>
  <si>
    <t>M02025AH16AE0200013000000AAAAF</t>
  </si>
  <si>
    <t>M02025AH16AE02000130000ABAAAAF</t>
  </si>
  <si>
    <t>M02187AH16AG0200013000300ABAAF</t>
  </si>
  <si>
    <t>M02049AB03AA0100010000000AAAAF</t>
  </si>
  <si>
    <t>M02062AB03AA0100010000000AAAAF</t>
  </si>
  <si>
    <t>M02080AB03AA0100010000000AAAAF</t>
  </si>
  <si>
    <t>M02096AB03AA0100010000000AAAAF</t>
  </si>
  <si>
    <t>M02119AB03AA0100010000000AAAAF</t>
  </si>
  <si>
    <t>M02149AB03AA0100010000000AAAAF</t>
  </si>
  <si>
    <t>M02187AB03AA0100010000000AAAAF</t>
  </si>
  <si>
    <t>M02049AB05AA0100010000000AAAAF</t>
  </si>
  <si>
    <t>M02062AB02AA0100010000000AAAAF</t>
  </si>
  <si>
    <t>M02096AB02AA0100010000000AAAAF</t>
  </si>
  <si>
    <t>M02119AB02AA0100010000000AAAAF</t>
  </si>
  <si>
    <t>M02149AB02AA0100010000000AAAAF</t>
  </si>
  <si>
    <t>M02187AB02AA0100010000000AAAAF</t>
  </si>
  <si>
    <t>M02080AB04AA0100010000000AAAAF</t>
  </si>
  <si>
    <t>M02096AB04AA0100010000000AAAAF</t>
  </si>
  <si>
    <t>M02119AB04AA0100010000000AAAAF</t>
  </si>
  <si>
    <t>M02187AB04AA0100010000000AAAAF</t>
  </si>
  <si>
    <t>M02049AB02AF0100010000000AAAAF</t>
  </si>
  <si>
    <t>M02240AB03AA0100010000000AAAAF</t>
  </si>
  <si>
    <t>M02240AB02AA0100010000000AAAAF</t>
  </si>
  <si>
    <t>M02049AB03AF0100010000000AAAAF</t>
  </si>
  <si>
    <t>M02149AB03AF0100010000000AAAAF</t>
  </si>
  <si>
    <t>M02240AB03AF0100010000000AAAAF</t>
  </si>
  <si>
    <t>M02096AB04AF0100010000000AAAAF</t>
  </si>
  <si>
    <t>M02149AB04AF0100010000000AAAAF</t>
  </si>
  <si>
    <t>M02187AB04AF0100010000000AAAAF</t>
  </si>
  <si>
    <t>M02240AB04AF0100010000000AAAAF</t>
  </si>
  <si>
    <t>M02240AB04AA0100010000000AAAAF</t>
  </si>
  <si>
    <t>M02149AG04AA0100010000400AEAAF</t>
  </si>
  <si>
    <t>M02149AB03AP0100010000000AFAAF</t>
  </si>
  <si>
    <t>M02187AB03AP0100010000000AFAAF</t>
  </si>
  <si>
    <t>M02062AB03AA0100010000000AFAAF</t>
  </si>
  <si>
    <t>M02049AB16AG0200010000000ABAAF</t>
  </si>
  <si>
    <t>M02062AB16AG0200010000000ABAAF</t>
  </si>
  <si>
    <t>M02080AB16AG0200010000000ABAAF</t>
  </si>
  <si>
    <t>M02096AB16AG0200010000000ABAAF</t>
  </si>
  <si>
    <t>M02119AB16AG0200010000000ABAAF</t>
  </si>
  <si>
    <t>M02149AB16AG0200010000000ABAAF</t>
  </si>
  <si>
    <t>M02187AB16AG0200010000000ABAAF</t>
  </si>
  <si>
    <t>M02240AB16AG0200010000000ABAAF</t>
  </si>
  <si>
    <t>M02119AB03AD0100010000000AAAAF</t>
  </si>
  <si>
    <t>M02298AB02AA0100010000000AAAAF</t>
  </si>
  <si>
    <t>M02298AB03AA0100010000000AAAAF</t>
  </si>
  <si>
    <t>M02149AB03AD0100010000000AAAAF</t>
  </si>
  <si>
    <t>M02080AB03AG0200010000000ABAAF</t>
  </si>
  <si>
    <t>M02062AB17AA0100010000000AAAAF</t>
  </si>
  <si>
    <t>M02119AL16AG0200010000000ABAAF</t>
  </si>
  <si>
    <t>M02240AB03AG0200010000000ABAAF</t>
  </si>
  <si>
    <t>M02187AB03AA0100010000000AFAAF</t>
  </si>
  <si>
    <t>M02049AB17AF0100010000000AAAAF</t>
  </si>
  <si>
    <t>M02187AB03AP0100012000000AFAAF</t>
  </si>
  <si>
    <t>M02096AB03AD01000100000ABABAAF</t>
  </si>
  <si>
    <t>M02240AB03AD0100010000000AAAAF</t>
  </si>
  <si>
    <t>M02298AB16AG0200010000000ABAAF</t>
  </si>
  <si>
    <t>M02149AB03AG0200010000000ABAAF</t>
  </si>
  <si>
    <t>M02187AB04AD0100010000000AAAAF</t>
  </si>
  <si>
    <t>M02119AB03AA0100010000000AEAAF</t>
  </si>
  <si>
    <t>M02096AB03AD0100010000000AAAAF</t>
  </si>
  <si>
    <t>M02149AB03AA0100014000000AAAAF</t>
  </si>
  <si>
    <t>M02240AB03AA0100014000000AAAAF</t>
  </si>
  <si>
    <t>M02187AR03AA0100010000000ABAAF</t>
  </si>
  <si>
    <t>M02119AB03AA0100010000000ABAAF</t>
  </si>
  <si>
    <t>M02298AB03AD0100014000000AAAAF</t>
  </si>
  <si>
    <t>M02187AB03AP0100014000000AFAAF</t>
  </si>
  <si>
    <t>M02062AB03AA01000100000AFAAAAF</t>
  </si>
  <si>
    <t>M02149AP03AR0100010000000ABAAF</t>
  </si>
  <si>
    <t>M02062AB03AA0100010000000AEAAF</t>
  </si>
  <si>
    <t>M02080AB03AA0100010000000AEAAF</t>
  </si>
  <si>
    <t>M02049AB03AA0100014000000AAAAF</t>
  </si>
  <si>
    <t>M02187AB03AP0400014000000AFAAF</t>
  </si>
  <si>
    <t>M02119AB03AA0100014000000AAAAF</t>
  </si>
  <si>
    <t>M02049AB03AA0100010000000AEAAF</t>
  </si>
  <si>
    <t>M02240AB03AH0101810000000AAAAF</t>
  </si>
  <si>
    <t>M02119AB03AG0200010000000ABAAF</t>
  </si>
  <si>
    <t>M02119AB03AA0100014000000AFAAF</t>
  </si>
  <si>
    <t>M02187AB03AG0200010000000ABAAF</t>
  </si>
  <si>
    <t>M02096AB03AA0100014000000ARAAF</t>
  </si>
  <si>
    <t>M02187AL03AG0200010000000ABAAF</t>
  </si>
  <si>
    <t>M02298AB03AD0100014000000ABAAF</t>
  </si>
  <si>
    <t>M02062AB18AA0100014000000AEAAF</t>
  </si>
  <si>
    <t>M02096AB03AG0200010000000ABAAF</t>
  </si>
  <si>
    <t>M02096AB03AR13A00100003ABABAAF</t>
  </si>
  <si>
    <t>M02049AB03AA0100010000000AFAAF</t>
  </si>
  <si>
    <t>M02080AB03AA0100010000000AFAAF</t>
  </si>
  <si>
    <t>M02049AP03AG0200010AA0000ABAAF</t>
  </si>
  <si>
    <t>M02049AP03AG0200010000000ABAAF</t>
  </si>
  <si>
    <t>M02096AB16AG0200013000000ABAAF</t>
  </si>
  <si>
    <t>M02062AB03AA0100010000000ABAAF</t>
  </si>
  <si>
    <t>M02049AB03AA0100010000000ABAAF</t>
  </si>
  <si>
    <t>M02298AB03AA0100014000000ABAAF</t>
  </si>
  <si>
    <t>M02062AP03AG0200010000000ABAAF</t>
  </si>
  <si>
    <t>M02096AB04AF0100010000000ABAAF</t>
  </si>
  <si>
    <t>M02240BG03AA01000150000AEAFAAF</t>
  </si>
  <si>
    <t>M02298AB02AA0100010AD0000AAAAF</t>
  </si>
  <si>
    <t>M02240AG03AA0100010000000AEAAF</t>
  </si>
  <si>
    <t>M02298AB04AA13A0010000300AAAAF</t>
  </si>
  <si>
    <t>M02149AB16AE0200010000000ABAAF</t>
  </si>
  <si>
    <t>M02062AB03AF0100010000000ABAAF</t>
  </si>
  <si>
    <t>M02096AL22AG0200010000000ABAAF</t>
  </si>
  <si>
    <t>M02119AL22AG0200010000000ABAAF</t>
  </si>
  <si>
    <t>M02062AP03AG0200010AA0000ABAAF</t>
  </si>
  <si>
    <t>M02149AB16AG0200010000000AAAAF</t>
  </si>
  <si>
    <t>M02119AB03AA0800010000000AAAAF</t>
  </si>
  <si>
    <t>M02187AB03AD0100010000000AAAAF</t>
  </si>
  <si>
    <t>M02055AB03AB0100010000000AVAAF</t>
  </si>
  <si>
    <t>M02062AB03AB0100010000000AVAAF</t>
  </si>
  <si>
    <t>M02080AB03AB0100010000000AVAAF</t>
  </si>
  <si>
    <t>M02096AB03AB0100010000000AVAAF</t>
  </si>
  <si>
    <t>M02298AB03AG0200010000000ABAAF</t>
  </si>
  <si>
    <t>M02240AB03AA0100014000000ABAAF</t>
  </si>
  <si>
    <t>M02096AB03AA0100010000000ABAAF</t>
  </si>
  <si>
    <t>M02240AB03AA0100014000000BEAAF</t>
  </si>
  <si>
    <t>M02119AB03AA0100014000000BEAAF</t>
  </si>
  <si>
    <t>M02096AL41AG0200010000000AFAAF</t>
  </si>
  <si>
    <t>M02080AL16AG0200010000000ABAAF</t>
  </si>
  <si>
    <t>M02096AL16AG0200010000000ABAAF</t>
  </si>
  <si>
    <t>M02240AB03AP0100011000000AFAAF</t>
  </si>
  <si>
    <t>M02080AP03AA0100010AA0000ABAAF</t>
  </si>
  <si>
    <t>M02187AL22AG0200010000000ABAAF</t>
  </si>
  <si>
    <t>M02055AB03AA0100010000000ABAAF</t>
  </si>
  <si>
    <t>M02149AR02AA0100010000000ABAAF</t>
  </si>
  <si>
    <t>M02062AP03AG0200010AH0000ABAAF</t>
  </si>
  <si>
    <t>M02080AP03AG0200010AH0000ABAAF</t>
  </si>
  <si>
    <t>M02119AB16AG0200013000000ABAAF</t>
  </si>
  <si>
    <t>M02096AL41AG0200010000300AFAAF</t>
  </si>
  <si>
    <t>M02240AB03AG0200033000000AAAAF</t>
  </si>
  <si>
    <t>M02298AR04AN0200013000000AAAAF</t>
  </si>
  <si>
    <t>M02096AL16AN0200014000000ABAAF</t>
  </si>
  <si>
    <t>M02119AL22AG0200014000000ABAAF</t>
  </si>
  <si>
    <t>M02096AL41AG0200016000000AFAAF</t>
  </si>
  <si>
    <t>M02187AB16AA0100013000000ABAAF</t>
  </si>
  <si>
    <t>M02096AL41AS0200034000000ACAAF</t>
  </si>
  <si>
    <t>M02119AL41AS0200034000000ACAAF</t>
  </si>
  <si>
    <t>M02080AL41AS0200034000000ACAAF</t>
  </si>
  <si>
    <t>M02149AR16AG0203310000000ABAAF</t>
  </si>
  <si>
    <t>M02096AL41AA13A0010000000AFAAF</t>
  </si>
  <si>
    <t>M02240AL22AS0200010000000ABAAF</t>
  </si>
  <si>
    <t>M02240AL22AE0200010000000ABAAF</t>
  </si>
  <si>
    <t>M02119AL41AG05A0010000000ABAAF</t>
  </si>
  <si>
    <t>M02049AB02AG0200010000000ABAAF</t>
  </si>
  <si>
    <t>M02096AB04AG0200010000000ABAAF</t>
  </si>
  <si>
    <t>M02049AD00AA0100010000000AAAAF</t>
  </si>
  <si>
    <t>M02096AD00AA0100010000000AAAAF</t>
  </si>
  <si>
    <t>M02149AD00AA0100010000000AAAAF</t>
  </si>
  <si>
    <t>M02187AD00AA0100010000000AAAAF</t>
  </si>
  <si>
    <t>M02240AD00AA0100010000000AAAAF</t>
  </si>
  <si>
    <t>M02080AD00AF0100010000000AAAAF</t>
  </si>
  <si>
    <t>M02119AD00AF0100010000000AAAAF</t>
  </si>
  <si>
    <t>M02149AD00AF0100010000000AAAAF</t>
  </si>
  <si>
    <t>M02187AD00AF0100010000000AAAAF</t>
  </si>
  <si>
    <t>M02240AD00AF0100010000000AAAAF</t>
  </si>
  <si>
    <t>M02049AD00AG0200010000000ABAAF</t>
  </si>
  <si>
    <t>M02062AD00AG0200010000000ABAAF</t>
  </si>
  <si>
    <t>M02080AD00AG0200010000000ABAAF</t>
  </si>
  <si>
    <t>M02096AD00AG0200010000000ABAAF</t>
  </si>
  <si>
    <t>M02119AD00AG0200010000000ABAAF</t>
  </si>
  <si>
    <t>M02149AD00AG0200010000000ABAAF</t>
  </si>
  <si>
    <t>M02187AD00AG0200010000000ABAAF</t>
  </si>
  <si>
    <t>M02240AD00AG0200010000000ABAAF</t>
  </si>
  <si>
    <t>M02096AD00AB0100010000000AAAAF</t>
  </si>
  <si>
    <t>M02298AD00AA0100010000000AAAAF</t>
  </si>
  <si>
    <t>M02187AD00AA0100010000000ABAAF</t>
  </si>
  <si>
    <t>M02298AD00AG0200010000000ABAAF</t>
  </si>
  <si>
    <t>M02096AE00AG0200010000300ABAAF</t>
  </si>
  <si>
    <t>M02096AD00AA0100010000000ABAAF</t>
  </si>
  <si>
    <t>M02049BN39AG0200010000000ABAAF</t>
  </si>
  <si>
    <t>M02119BN39AG0200010000000ABAAF</t>
  </si>
  <si>
    <t>M02187BN39AG0200010000000ABAAF</t>
  </si>
  <si>
    <t>M02096BN39AG0200010000000ABAAF</t>
  </si>
  <si>
    <t>M02080BN39AG0200010000000ABAAF</t>
  </si>
  <si>
    <t>M02187AD00AE0200010000000ABAAF</t>
  </si>
  <si>
    <t>M02119AZ39AS1000010000200ABAAF</t>
  </si>
  <si>
    <t>M02096BN39AG0200010000000BCAAF</t>
  </si>
  <si>
    <t>M02119AE00AB0100010000300AAAAF</t>
  </si>
  <si>
    <t>M02062AZ39AS10000100013ABBMAAF</t>
  </si>
  <si>
    <t>M02062BN39AS0200010000000ABAAF</t>
  </si>
  <si>
    <t>M02119BN39AS0200010000000ABAAF</t>
  </si>
  <si>
    <t>M02187BN39AS0200010000000ABAAF</t>
  </si>
  <si>
    <t>M02187AD00AB0100010000000ABAAF</t>
  </si>
  <si>
    <t>M02149AD00AT0100010000000ABAAF</t>
  </si>
  <si>
    <t>M02187AD00AT0100010000000ABAAF</t>
  </si>
  <si>
    <t>M02149AD00AE0200010000000ABAAF</t>
  </si>
  <si>
    <t>M02062BN39AS02000100000ABABAAF</t>
  </si>
  <si>
    <t>M02080BN39AG02000100000ABABAAF</t>
  </si>
  <si>
    <t xml:space="preserve">FLANGE, MOUNTING  </t>
  </si>
  <si>
    <t>MT0022FA24AF0200000000AB00000A</t>
  </si>
  <si>
    <t>M22049AC01AA0100010000000AAAAA</t>
  </si>
  <si>
    <t>M22062AC01AA0100010000000AAAAA</t>
  </si>
  <si>
    <t>M22080AC01AA0100010000000AAAAA</t>
  </si>
  <si>
    <t>M22096AC01AA0100010000000AAAAA</t>
  </si>
  <si>
    <t>M22119AC01AA0100010000000AAAAA</t>
  </si>
  <si>
    <t>M22049AC02AA0100010000000AAAAA</t>
  </si>
  <si>
    <t>M22062AC02AA0100010000000AAAAA</t>
  </si>
  <si>
    <t>M22096AC02AA0100010000000AAAAA</t>
  </si>
  <si>
    <t>M22119AC02AA0100010000000AAAAA</t>
  </si>
  <si>
    <t>M22149AC02AA0100010000000AAAAA</t>
  </si>
  <si>
    <t>M22187AC02AA0100010000000AAAAA</t>
  </si>
  <si>
    <t>M22240AC02AA0100010000000AAAAA</t>
  </si>
  <si>
    <t>M22049AC04AA0100010000000AAAAA</t>
  </si>
  <si>
    <t>M22062AC04AA0100010000000AAAAA</t>
  </si>
  <si>
    <t>M22096AC04AA0100010000000AAAAA</t>
  </si>
  <si>
    <t>M22119AC04AA0100010000000AAAAA</t>
  </si>
  <si>
    <t>M22149AC04AA0100010000000AAAAA</t>
  </si>
  <si>
    <t>M22187AC04AA0100010000000AAAAA</t>
  </si>
  <si>
    <t>M22240AC04AA0100010000000AAAAA</t>
  </si>
  <si>
    <t>M22049AC05AA0100010000000AAAAA</t>
  </si>
  <si>
    <t>M22062AC05AA0100010000000AAAAA</t>
  </si>
  <si>
    <t>M22080AC05AA0100010000000AAAAA</t>
  </si>
  <si>
    <t>M22096AC05AA0100010000000AAAAA</t>
  </si>
  <si>
    <t>M22119AC05AA0100010000000AAAAA</t>
  </si>
  <si>
    <t>M22119AF07AA01000100000ABAAAAA</t>
  </si>
  <si>
    <t>M22096AF07AA0100010000000AAAAA</t>
  </si>
  <si>
    <t>M22119AF07AA0100010000000AAAAA</t>
  </si>
  <si>
    <t>M22149AF07AA0100010000000AAAAA</t>
  </si>
  <si>
    <t>M22119AF04AA0100010000000AAAAA</t>
  </si>
  <si>
    <t>M22240AF02AA0100010000000AAAAA</t>
  </si>
  <si>
    <t>M22049AH16AD0200010000000AAAAA</t>
  </si>
  <si>
    <t>M22062AH16AD0200010000000AAAAA</t>
  </si>
  <si>
    <t>M22080AH16AD0200010000000AAAAA</t>
  </si>
  <si>
    <t>M22096AH16AD0200010000000AAAAA</t>
  </si>
  <si>
    <t>M22119AH16AD0200010000000AAAAA</t>
  </si>
  <si>
    <t>M22149AH16AD0200010000000AAAAA</t>
  </si>
  <si>
    <t>M22187AH16AD0200010000000AAAAA</t>
  </si>
  <si>
    <t>M22240AH16AD0200010000000AAAAA</t>
  </si>
  <si>
    <t>M22119AF08AA0100010000000AAAAA</t>
  </si>
  <si>
    <t>M22049AF08AA0100010000000AAAAA</t>
  </si>
  <si>
    <t>M22080AC07AD0200010000000ABAAA</t>
  </si>
  <si>
    <t>M22062AF01AA0100010000000AAAAA</t>
  </si>
  <si>
    <t>M22096AH16AD02000100000ABAAAAA</t>
  </si>
  <si>
    <t>M22187AH16AD02000100000ABAAAAA</t>
  </si>
  <si>
    <t>M22119AH04AD0200010000000AAAAA</t>
  </si>
  <si>
    <t>M22062AF08AA01000100000ABAAAAA</t>
  </si>
  <si>
    <t>M22096AC05AA01000100000ABAAAAA</t>
  </si>
  <si>
    <t>M22096AC07AD0200010000000ABAAA</t>
  </si>
  <si>
    <t>M22149AC05AA0100010000000AAAAA</t>
  </si>
  <si>
    <t>M22187AC05AA0100010000000AAAAA</t>
  </si>
  <si>
    <t>M22240AH02AA0100010000000AAAAA</t>
  </si>
  <si>
    <t>M22080AC19AD0200010000000AAAAA</t>
  </si>
  <si>
    <t>M22096AC19AD0200010000000AAAAA</t>
  </si>
  <si>
    <t>M22119AC16AA0100010000000ABAAA</t>
  </si>
  <si>
    <t>M22149AC16AA0100010000000ABAAA</t>
  </si>
  <si>
    <t>M22149AJ04AA01000100000AAAAAAA</t>
  </si>
  <si>
    <t>M22119AJ04AA0100010000000AAAAA</t>
  </si>
  <si>
    <t>M22062AC19AD05000100000ABABAAA</t>
  </si>
  <si>
    <t>M22062AC19AD0200010000000AAAAA</t>
  </si>
  <si>
    <t>M22049AC04AA0100010AA0000ABAAA</t>
  </si>
  <si>
    <t>M22062AC04AA0100010AA0000AAAAA</t>
  </si>
  <si>
    <t>M22187AC04AA0100012000000AAAAA</t>
  </si>
  <si>
    <t>M22080AC19AD0200010000000ABAAA</t>
  </si>
  <si>
    <t>M22119AB03AA0100010000000AAAAA</t>
  </si>
  <si>
    <t>M22049AE00AA0100010000000AAAAA</t>
  </si>
  <si>
    <t>M22062AE00AA0100010000000AAAAA</t>
  </si>
  <si>
    <t>M22080AE00AA0100010000000AAAAA</t>
  </si>
  <si>
    <t>M22096AE00AA0100010000000AAAAA</t>
  </si>
  <si>
    <t>M22119AE00AA0100010000000AAAAA</t>
  </si>
  <si>
    <t>M22149AE00AA0100010000000AAAAA</t>
  </si>
  <si>
    <t>M22187AE00AA0100010000000AAAAA</t>
  </si>
  <si>
    <t>M22240AE00AA0100010000000AAAAA</t>
  </si>
  <si>
    <t>M22062AE00AA01000100000ABAAAAA</t>
  </si>
  <si>
    <t>M22080AE00AA01000100000ABAAAAA</t>
  </si>
  <si>
    <t>M22096AE00AA01000100000ABAAAAA</t>
  </si>
  <si>
    <t>M22119AE00AA01000100000ABAAAAA</t>
  </si>
  <si>
    <t>M22119AE00AA0100010AA0000AAAAA</t>
  </si>
  <si>
    <t>M22062AE00AA0100010000000ABAAA</t>
  </si>
  <si>
    <t>M22049AE00AA0100010AA0000ABAAA</t>
  </si>
  <si>
    <t>M22096AH16AD02000100000ABABAAA</t>
  </si>
  <si>
    <t>M22187AH16AD02000100000ABABAAA</t>
  </si>
  <si>
    <t>M22149AC16AD0200010000000AAAAA</t>
  </si>
  <si>
    <t>M22080AC04AD0200010000000ABAAA</t>
  </si>
  <si>
    <t>M22240AC19AD0500010000000ABAAA</t>
  </si>
  <si>
    <t>M22080AC04AA0100010AA0000ABAAA</t>
  </si>
  <si>
    <t>M22119AC05AA01000100000ABAAAAA</t>
  </si>
  <si>
    <t>M22149AC05AA01000100000ACAAAAA</t>
  </si>
  <si>
    <t>M22049AH16AD0500010000000ABAAA</t>
  </si>
  <si>
    <t>M22080AC04AA0100010000000ABAAA</t>
  </si>
  <si>
    <t>M22149AC19AA0100010000000AAAAA</t>
  </si>
  <si>
    <t>M22062AC02AA0100010AA0000ABAAA</t>
  </si>
  <si>
    <t>M22240AH02AA0100010AA0000AAAAA</t>
  </si>
  <si>
    <t>M22187AC05AA0100010000000BTAAA</t>
  </si>
  <si>
    <t>M22062AZ39AD0200010000000ABAAA</t>
  </si>
  <si>
    <t>M22062AZ39AD02000100000ABABAAA</t>
  </si>
  <si>
    <t>M22080AZ39AD0200010000000ABAAA</t>
  </si>
  <si>
    <t>M22080AZ39AD02000100000ABABAAA</t>
  </si>
  <si>
    <t>M22096AE00AA0100010AA0000AAAAA</t>
  </si>
  <si>
    <t>M22080AF08AD0200010000000ABAAA</t>
  </si>
  <si>
    <t>M22096AB16AD0200010000000ABAAA</t>
  </si>
  <si>
    <t>M22096AE00AA0100010AA0000ABAAA</t>
  </si>
  <si>
    <t>M22080AH05AD0200010000000AAAAA</t>
  </si>
  <si>
    <t>2K2P MOTOR/LOWGLOSS BLACK</t>
  </si>
  <si>
    <t>M22298AC19AD0500010000000ABAAA</t>
  </si>
  <si>
    <t>M22149AJ04AD05000100000ACABAJA</t>
  </si>
  <si>
    <t>M22080AH16AD02000100000ABAAAAA</t>
  </si>
  <si>
    <t>M22049AH16AD020001000EX00AAAAA</t>
  </si>
  <si>
    <t>M22240AC19AA0100010AA00ACAAAAA</t>
  </si>
  <si>
    <t>M22149AH16AD02000100000ABAAAAA</t>
  </si>
  <si>
    <t>M04067AB02AD02000000000000000F</t>
  </si>
  <si>
    <t>M04099AB03AD02000000000000000F</t>
  </si>
  <si>
    <t>M04190AE05AA01000000000000000F</t>
  </si>
  <si>
    <t>M04240AE05AA01000000000000000F</t>
  </si>
  <si>
    <t>M04150AB01AD02000000000000000F</t>
  </si>
  <si>
    <t>M04190AB03AD02000000000000000F</t>
  </si>
  <si>
    <t>M04171AB01AB02000000000000000F</t>
  </si>
  <si>
    <t>M04067AB01AB02000000000000000F</t>
  </si>
  <si>
    <t>M04080AB01AB02000000000000000F</t>
  </si>
  <si>
    <t>M04099AB01AB02000000000000000F</t>
  </si>
  <si>
    <t>M04125AB01AB02000000000000000F</t>
  </si>
  <si>
    <t>M04150AB01AB02000000000000000F</t>
  </si>
  <si>
    <t>M04190AB01AB02000000000000000F</t>
  </si>
  <si>
    <t>M04240AB01AB02000000000000000F</t>
  </si>
  <si>
    <t>M04099AB02AB02000000000000000F</t>
  </si>
  <si>
    <t>M04125AB02AB02000000000000000F</t>
  </si>
  <si>
    <t>M04150AB02AB02000000000000000F</t>
  </si>
  <si>
    <t>M04067AB03AB02000000000000000F</t>
  </si>
  <si>
    <t>M04080AB03AB02000000000000000F</t>
  </si>
  <si>
    <t>M04099AB03AB02000000000000000F</t>
  </si>
  <si>
    <t>M04125AB03AB02000000000000000F</t>
  </si>
  <si>
    <t>M04150AB03AB02000000000000000F</t>
  </si>
  <si>
    <t>M04190AB03AB02000000000000000F</t>
  </si>
  <si>
    <t>M04240AB03AB02000000000000000F</t>
  </si>
  <si>
    <t>M04150AF07AB02000000000000000F</t>
  </si>
  <si>
    <t>M04190AF07AB02000000000000000F</t>
  </si>
  <si>
    <t>M04190AE08AA01000000005000000F</t>
  </si>
  <si>
    <t>M04067AF11AC0300000000000AA00F</t>
  </si>
  <si>
    <t>M04080AF11AC0300000000000AA00F</t>
  </si>
  <si>
    <t>M04190AF11AC0300000000000AA00F</t>
  </si>
  <si>
    <t>M04240AF11AC0300000000000AA00F</t>
  </si>
  <si>
    <t>M04067AF10AC0300000000000AA00F</t>
  </si>
  <si>
    <t>M04080AF10AC0300000000000AA00F</t>
  </si>
  <si>
    <t>M04099AF10AC03000000000000000F</t>
  </si>
  <si>
    <t>M04125AF10AC0300000000000AA00F</t>
  </si>
  <si>
    <t>M04150AF10AC03000000000000000F</t>
  </si>
  <si>
    <t>M04190AF10AC0300000000000AA00F</t>
  </si>
  <si>
    <t>M04125AF03AB02000000000000000F</t>
  </si>
  <si>
    <t>M04301AB01AB02000000000000000F</t>
  </si>
  <si>
    <t>M04381AB01AB02000000000000000F</t>
  </si>
  <si>
    <t>M04381AB03AB02000000000000000F</t>
  </si>
  <si>
    <t>M04301AB01AA01000000000000000F</t>
  </si>
  <si>
    <t>M04125AF11AC0300000000000AA00F</t>
  </si>
  <si>
    <t>M04150AF11AC0300000000000AA00F</t>
  </si>
  <si>
    <t>M04099AF11AC0300000000000AA00F</t>
  </si>
  <si>
    <t>M04150AB01AB01000000000000000F</t>
  </si>
  <si>
    <t>M04125AH11AC0300000000000AA00F</t>
  </si>
  <si>
    <t>M04381AF11AC0300000001300AA00F</t>
  </si>
  <si>
    <t>M04301AH11AC0300000000000AA00F</t>
  </si>
  <si>
    <t>M04381AH11AC0300000000000AA00F</t>
  </si>
  <si>
    <t>M04240AH11AC0300000000000AA00F</t>
  </si>
  <si>
    <t>M04099AB03AA01000000001000000F</t>
  </si>
  <si>
    <t>M04150AF11AD02000000000000000F</t>
  </si>
  <si>
    <t>M04150AH11AC0300000000000AA00F</t>
  </si>
  <si>
    <t>M04190AH11AC0300000000000AA00F</t>
  </si>
  <si>
    <t>M04099AH11AC0300000000000AA00F</t>
  </si>
  <si>
    <t>M04080AH11AC0300000000000AA00F</t>
  </si>
  <si>
    <t>M04067AH11AC0300000000000AA00F</t>
  </si>
  <si>
    <t>M04150AH10AC0300000000000AA00F</t>
  </si>
  <si>
    <t>M04240AH10AC0300000000000AA00F</t>
  </si>
  <si>
    <t>M04301AH10AC0300000000000AA00F</t>
  </si>
  <si>
    <t>M04190AH02AC0300000000000AA00F</t>
  </si>
  <si>
    <t>M04301AH02AC0300000000000AA00F</t>
  </si>
  <si>
    <t>M04150AF07AD02000000000000000F</t>
  </si>
  <si>
    <t>M04190AJ13AA0100000000100AG00F</t>
  </si>
  <si>
    <t>M04190AH10AC0300000000000AA00F</t>
  </si>
  <si>
    <t>M04301AF11AC0300000000000AA00F</t>
  </si>
  <si>
    <t>M04171AE08AA0100000000000AC00F</t>
  </si>
  <si>
    <t>M04080AF03AC0300000000000AA00F</t>
  </si>
  <si>
    <t>M04190AF03AD02000000000000000F</t>
  </si>
  <si>
    <t>M04240AF03AB02000000000000000F</t>
  </si>
  <si>
    <t>M04099AF03AB02000000000000000F</t>
  </si>
  <si>
    <t>M04190AB10AC0300000000000AA00F</t>
  </si>
  <si>
    <t>M04099AF10AD0200000000000AA00F</t>
  </si>
  <si>
    <t>M04067AF03AB02000000000000000F</t>
  </si>
  <si>
    <t>M04150AJ13AA01000000001000000F</t>
  </si>
  <si>
    <t>M04080AF03AB02000000000000000F</t>
  </si>
  <si>
    <t>M04125AF10AD0200000000000AA00F</t>
  </si>
  <si>
    <t>M04099AJ02AA01000000000000000F</t>
  </si>
  <si>
    <t>M04301AF03AB02000000000000000F</t>
  </si>
  <si>
    <t>M04125AB01AB0200000000000AA00F</t>
  </si>
  <si>
    <t>M04150AF01AD02000000000000000F</t>
  </si>
  <si>
    <t>M04381AF02AB02000000000000000F</t>
  </si>
  <si>
    <t>M04150AF10AB02000000000000000F</t>
  </si>
  <si>
    <t>M04125AF03AD02000000000000000F</t>
  </si>
  <si>
    <t>M04301AB01AD02000000000000000F</t>
  </si>
  <si>
    <t>M04099AB11AC0300000000000AA00F</t>
  </si>
  <si>
    <t>M04240AF11AB02000000000000000F</t>
  </si>
  <si>
    <t>M04381AF02AB0200000001300AA00F</t>
  </si>
  <si>
    <t>M04125AF01AB02000000000000000F</t>
  </si>
  <si>
    <t>M04381AF11AC0300003000000AA00F</t>
  </si>
  <si>
    <t>M04190AH11AC0300000000600AA00F</t>
  </si>
  <si>
    <t>M04099AF03AD02000000000000000F</t>
  </si>
  <si>
    <t>M04240AB10AA0100001000000AA00F</t>
  </si>
  <si>
    <t>M04099AF11AC0300003000000AA00F</t>
  </si>
  <si>
    <t>M04301AF10AC0300000000000AA00F</t>
  </si>
  <si>
    <t>M04125AB03AB0200000000000AA00F</t>
  </si>
  <si>
    <t>M04080AB03AB0200000000000AA00F</t>
  </si>
  <si>
    <t>M04381AF10AB02000000000000000F</t>
  </si>
  <si>
    <t>M04125AJ13AA01000000001000000F</t>
  </si>
  <si>
    <t>M04240AF10AC0300000000000AA00F</t>
  </si>
  <si>
    <t>M04190AB03AB02000100000000000F</t>
  </si>
  <si>
    <t>M04190AB01AB0200000000000AA00F</t>
  </si>
  <si>
    <t>M04150AF07AD02000000013000000F</t>
  </si>
  <si>
    <t>M04125AB11AC0300000000000AA00F</t>
  </si>
  <si>
    <t>M04381AB01AB0200000000000AA00F</t>
  </si>
  <si>
    <t>M04240AB11AC0300000000000AA00F</t>
  </si>
  <si>
    <t>M04125AF10AA0200000000000AA00F</t>
  </si>
  <si>
    <t>M04190AB01AC03000000000000000F</t>
  </si>
  <si>
    <t>M04150AB11AC0300000000000AA00F</t>
  </si>
  <si>
    <t>M04099AF01AB02000000000000000F</t>
  </si>
  <si>
    <t>M04301AB01AB0200000000000AA00F</t>
  </si>
  <si>
    <t>M04067AB01AC03000000000000000F</t>
  </si>
  <si>
    <t>M04301AB10AB02000000000000000F</t>
  </si>
  <si>
    <t>M04150AF11AB0200000000000AB00F</t>
  </si>
  <si>
    <t>M04150AB10AB02000000000000000F</t>
  </si>
  <si>
    <t>M04099AF10AC03000000006000000F</t>
  </si>
  <si>
    <t>M04067AF03AB02000010000000000F</t>
  </si>
  <si>
    <t>M04080AF13AB01000000000000000F</t>
  </si>
  <si>
    <t>M04080AF34AB01000000000000000F</t>
  </si>
  <si>
    <t>M04240AF10AC0300000000600AA00F</t>
  </si>
  <si>
    <t>M04067AB11AC0300000000000AA00F</t>
  </si>
  <si>
    <t>M04190AB01AB0200000000000AR00F</t>
  </si>
  <si>
    <t>M04190AB11AC0300000000000AA00F</t>
  </si>
  <si>
    <t>M04301AB03AB0200000000000AA00F</t>
  </si>
  <si>
    <t>M04150AB10AB02000090000000000F</t>
  </si>
  <si>
    <t>M04190AB01AB0200009001300AA00F</t>
  </si>
  <si>
    <t>M04099AF11AC030000000EX00AA00F</t>
  </si>
  <si>
    <t>M04190AH11AC030000100EX000000F</t>
  </si>
  <si>
    <t>M04080AB01AB0200009001300AA00F</t>
  </si>
  <si>
    <t>M04067AC02AD02000000000000000F</t>
  </si>
  <si>
    <t>M04080AC02AD02000000000000000F</t>
  </si>
  <si>
    <t>M04150AC01AB02000000000000000F</t>
  </si>
  <si>
    <t>M04067AC02AB02000000000000000F</t>
  </si>
  <si>
    <t>M04080AC02AB02000000000000000F</t>
  </si>
  <si>
    <t>M04099AC02AB02000000000000000F</t>
  </si>
  <si>
    <t>M04125AC02AB02000000000000000F</t>
  </si>
  <si>
    <t>M04150AC02AB02000000000000000F</t>
  </si>
  <si>
    <t>M04190AC02AB02000000000000000F</t>
  </si>
  <si>
    <t>M04240AC02AB02000000000000000F</t>
  </si>
  <si>
    <t>M04099AC03AB02000000000000000F</t>
  </si>
  <si>
    <t>M04190AC03AB02000000000000000F</t>
  </si>
  <si>
    <t>M04080AC11AC0300000000000AA00F</t>
  </si>
  <si>
    <t>M04099AC11AC0300000000000AA00F</t>
  </si>
  <si>
    <t>M04125AC11AC0300000000000AA00F</t>
  </si>
  <si>
    <t>M04150AC11AC0300000000000AA00F</t>
  </si>
  <si>
    <t>M04190AC11AC0300000000000AA00F</t>
  </si>
  <si>
    <t>M04301AC02AB02000000000000000F</t>
  </si>
  <si>
    <t>M04381AC02AB02000000000000000F</t>
  </si>
  <si>
    <t>M04240AC11AC0300000000000AA00F</t>
  </si>
  <si>
    <t>M04150AC02AB0200000000000AD00F</t>
  </si>
  <si>
    <t>M04190AC02AB0200000000000AA00F</t>
  </si>
  <si>
    <t>M04240AC02AB0200000000000AD00F</t>
  </si>
  <si>
    <t>M04190AC02AC0300000000600AA00F</t>
  </si>
  <si>
    <t>M04240AC02AC0300000000600AA00F</t>
  </si>
  <si>
    <t>M04150AC02AC03000000000000000F</t>
  </si>
  <si>
    <t>M04240AC02AB02000000020000000F</t>
  </si>
  <si>
    <t>M04190AD02AB0200004000000AD00F</t>
  </si>
  <si>
    <t>M04301AC11AC0300000000000AA00F</t>
  </si>
  <si>
    <t>M04125AC02AB02000040000000000F</t>
  </si>
  <si>
    <t>M04190AD02AB0100004000000AD00F</t>
  </si>
  <si>
    <t>M04381AC11AB02000000000000000F</t>
  </si>
  <si>
    <t>M04301AC03AB0200000000000AB00F</t>
  </si>
  <si>
    <t>M04190AC02AB0200004000000AD00F</t>
  </si>
  <si>
    <t>M04301AC02AB0200004000000AD00F</t>
  </si>
  <si>
    <t>M04240AC02AB0200000000000AA00F</t>
  </si>
  <si>
    <t>M04125AC29AD0200000000000AJ00F</t>
  </si>
  <si>
    <t>M04240AC02AD0200000000600AA00F</t>
  </si>
  <si>
    <t>M04080AC02AB0200000000000AA00F</t>
  </si>
  <si>
    <t>M04171AD02AB0100004000000AD00F</t>
  </si>
  <si>
    <t>M04301AC02AB0200008000000AN00F</t>
  </si>
  <si>
    <t>M04190AC02AD0200004000600AA00F</t>
  </si>
  <si>
    <t>M04099AA00AA01000000005000000D</t>
  </si>
  <si>
    <t>M04067AA00AB02000000000000000D</t>
  </si>
  <si>
    <t>M04099AA00AB02000000000000000D</t>
  </si>
  <si>
    <t>M04125AA00AB02000000000000000D</t>
  </si>
  <si>
    <t>M04150AA00AB02000000000000000D</t>
  </si>
  <si>
    <t>M04240AA00AB02000000000000000D</t>
  </si>
  <si>
    <t>M04125AA00AD02000000000000000D</t>
  </si>
  <si>
    <t>M04080AA00AC0300000000000AA00D</t>
  </si>
  <si>
    <t>M04099AA00AC0300000000000AA00D</t>
  </si>
  <si>
    <t>M04125AA00AC0300000000000AA00D</t>
  </si>
  <si>
    <t>M04150AA00AC0300000000000AA00D</t>
  </si>
  <si>
    <t>M04099AA00AA01000000002000000D</t>
  </si>
  <si>
    <t>M04301AA00AB02000000000000000D</t>
  </si>
  <si>
    <t>M04190AA00AA01000000002000000D</t>
  </si>
  <si>
    <t>M04125AA00AB0200000AA00000000D</t>
  </si>
  <si>
    <t>M04240AN22AC08000000000AAAA00D</t>
  </si>
  <si>
    <t>M04099AA00AB0200000AA00000000D</t>
  </si>
  <si>
    <t>M04171AA00AC0300000000000AA00D</t>
  </si>
  <si>
    <t>M06239AB01AB02000000000000000F</t>
  </si>
  <si>
    <t>M06120AB02AB02000000000000000F</t>
  </si>
  <si>
    <t>M06239AB02AB02000000000000000F</t>
  </si>
  <si>
    <t>M06300AB02AB02000000000000000F</t>
  </si>
  <si>
    <t>M06300AB03AB02000000000000000F</t>
  </si>
  <si>
    <t>M06150AB01AB02000000000000000F</t>
  </si>
  <si>
    <t>M06190AB01AB02000000000000000F</t>
  </si>
  <si>
    <t>M06600AB02AB02000000000000000F</t>
  </si>
  <si>
    <t>M06150AB03AB02000000000000000F</t>
  </si>
  <si>
    <t>M06190AB03AB02000000000000000F</t>
  </si>
  <si>
    <t>M06190AB02AA02000000000000000F</t>
  </si>
  <si>
    <t>M06300AB02AA02000000000000000F</t>
  </si>
  <si>
    <t>M06120AB03AA02000000000000000F</t>
  </si>
  <si>
    <t>M06150AB03AA02000000000000000F</t>
  </si>
  <si>
    <t>M06190AB03AA02000000000000000F</t>
  </si>
  <si>
    <t>M06239AB03AA02000000000000000F</t>
  </si>
  <si>
    <t>M06300AB03AA02000000000000000F</t>
  </si>
  <si>
    <t>M06600AB03AA02000000000000000F</t>
  </si>
  <si>
    <t>M06120AB01AA02000000000000000F</t>
  </si>
  <si>
    <t>M06150AB01AA02000000000000000F</t>
  </si>
  <si>
    <t>M06190AB01AA02000000000000000F</t>
  </si>
  <si>
    <t>M06239AB01AA02000000000000000F</t>
  </si>
  <si>
    <t>M06300AB01AA02000000000000000F</t>
  </si>
  <si>
    <t>M06600AB01AA02000000000000000F</t>
  </si>
  <si>
    <t>M06120AB02AA06000000000000000F</t>
  </si>
  <si>
    <t>M06300AB02AA06000000000000000F</t>
  </si>
  <si>
    <t>M06120AB03AC0300000000000AA00F</t>
  </si>
  <si>
    <t>M06150AB03AC0300000000000AA00F</t>
  </si>
  <si>
    <t>M06190AB03AC0300000000000AA00F</t>
  </si>
  <si>
    <t>M06239AB03AC0300000000000AA00F</t>
  </si>
  <si>
    <t>M06300AB03AC0300000000000AA00F</t>
  </si>
  <si>
    <t>M06600AB03AC0300000000000AA00F</t>
  </si>
  <si>
    <t>M06120AB04AC0300000000000AA00F</t>
  </si>
  <si>
    <t>M06150AB04AC0300000000000AA00F</t>
  </si>
  <si>
    <t>M06190AB04AC0300000000000AA00F</t>
  </si>
  <si>
    <t>M06239AB04AC0300000000000AA00F</t>
  </si>
  <si>
    <t>M06300AB04AC0300000000000AA00F</t>
  </si>
  <si>
    <t>M06600AB04AC0300000000000AA00F</t>
  </si>
  <si>
    <t>M06239AB02AA06000000000000000F</t>
  </si>
  <si>
    <t>M06300AB03AA06000000000000000F</t>
  </si>
  <si>
    <t>M06381AB01AA02000000000000000F</t>
  </si>
  <si>
    <t>M06381AB02AA02000000008000000F</t>
  </si>
  <si>
    <t>M06381AB03AA02000000000000000F</t>
  </si>
  <si>
    <t>M06600AB02AC03000000000000000F</t>
  </si>
  <si>
    <t>M06381AB04AC0300000000000AA00F</t>
  </si>
  <si>
    <t>M06190AB05AA02000000000000000F</t>
  </si>
  <si>
    <t>M06190AD03AA0600000000000AG00F</t>
  </si>
  <si>
    <t>M06300AB02AB0200001000000AA00F</t>
  </si>
  <si>
    <t>M06381AB04AB0200001000000AA00F</t>
  </si>
  <si>
    <t>M06239AB01AA0200000000000AA00F</t>
  </si>
  <si>
    <t>M06450AB01AA02000000000000000F</t>
  </si>
  <si>
    <t>M06300AB01AA06000030003000000F</t>
  </si>
  <si>
    <t>M06150AB05AA02000000000000000F</t>
  </si>
  <si>
    <t>M06150AB02AA0600000000000AD00F</t>
  </si>
  <si>
    <t>M06239AB02AC0300001000000AA00F</t>
  </si>
  <si>
    <t>M06300AB02AC0300001000000AA00F</t>
  </si>
  <si>
    <t>M06300AB03AA0200000000000AE00F</t>
  </si>
  <si>
    <t>M06300AB06AA0200000000000AA00F</t>
  </si>
  <si>
    <t>M06381AB11AA02000000000000000F</t>
  </si>
  <si>
    <t>M06381AB01AA0200000AB00000000F</t>
  </si>
  <si>
    <t>M06381AB02AC0300001000000AA00F</t>
  </si>
  <si>
    <t>M06300AH12AC0300000000000AA00F</t>
  </si>
  <si>
    <t>M06381AH12AC0300000000000AA00F</t>
  </si>
  <si>
    <t>M06190AH12AC0300000000000AA00F</t>
  </si>
  <si>
    <t>M06239AH12AC0300000000000AA00F</t>
  </si>
  <si>
    <t>M06490AH12AC0300000000000AA00F</t>
  </si>
  <si>
    <t>M06600AH12AC0300000000000AA00F</t>
  </si>
  <si>
    <t>M06600AB01AA02000030000000000F</t>
  </si>
  <si>
    <t>M06239AB03AA06000000006000000F</t>
  </si>
  <si>
    <t>M06450AH12AC0300000000000AA00F</t>
  </si>
  <si>
    <t>M06120AB01AA0200000AB00000000F</t>
  </si>
  <si>
    <t>M06190AB01AA0200000AB00000000F</t>
  </si>
  <si>
    <t>M06300AB03AA0600000000200AA00F</t>
  </si>
  <si>
    <t>M06150AB01AA06000000000000000F</t>
  </si>
  <si>
    <t>M06300AB03AA0200000000000AA00F</t>
  </si>
  <si>
    <t>M06190AB04AB02000000000000000F</t>
  </si>
  <si>
    <t>M06300AB01AA0200000000000AA00F</t>
  </si>
  <si>
    <t>M06120AE02AA1300000001200AD00F</t>
  </si>
  <si>
    <t>M06150AE02AA13000000012ABAD00F</t>
  </si>
  <si>
    <t>M06300AB06AC0300000000000AE00F</t>
  </si>
  <si>
    <t>M06300AB02AC03000000000000000F</t>
  </si>
  <si>
    <t>M06600AH12AB0200000000000AB00F</t>
  </si>
  <si>
    <t>M06381AB03AC0300000000000AA00F</t>
  </si>
  <si>
    <t>M06150AB01AA0200000AB00000000F</t>
  </si>
  <si>
    <t>M06190AB01AA0200000AF00000000F</t>
  </si>
  <si>
    <t>M06381AH12AB02000000000000000F</t>
  </si>
  <si>
    <t>M06600AB03AA02000030000000000F</t>
  </si>
  <si>
    <t>M06381AH12AC0300004001800AA00F</t>
  </si>
  <si>
    <t>M06490AH12AC0300004001800AA00F</t>
  </si>
  <si>
    <t>M06300AH12AC0300004001800AA00F</t>
  </si>
  <si>
    <t>M06381AH12AC0300004001800AH00F</t>
  </si>
  <si>
    <t>M06490AH12AC0300004001800AH00F</t>
  </si>
  <si>
    <t>M06239AN20AH0300000000000AA00F</t>
  </si>
  <si>
    <t>M06150AH12AC0300000000000AA00F</t>
  </si>
  <si>
    <t>M06120AH12AC0300000000000AA00F</t>
  </si>
  <si>
    <t>M06300AB01AA0200000AB0000AB00F</t>
  </si>
  <si>
    <t>M06490AB03AC03000000000000000F</t>
  </si>
  <si>
    <t>M06190AD03AA0600007000000AP00F</t>
  </si>
  <si>
    <t>M06150AH12AC0300004000000AA00F</t>
  </si>
  <si>
    <t>M06490AB04AC03000000000AAAE00F</t>
  </si>
  <si>
    <t>M06190AN05AC03000000000000000F</t>
  </si>
  <si>
    <t>M06300AB03AA020000000EXAA0000F</t>
  </si>
  <si>
    <t>M06450AB04AA02000100000000000F</t>
  </si>
  <si>
    <t>M06120AN20AH03000000000000000F</t>
  </si>
  <si>
    <t>M06300AB04AC0300001000000AA00F</t>
  </si>
  <si>
    <t>M06239AC02AB02000000000000000F</t>
  </si>
  <si>
    <t>M06190AC01AA02000000000000000F</t>
  </si>
  <si>
    <t>M06150AC02AA02000000000000000F</t>
  </si>
  <si>
    <t>M06190AC02AA02000000000000000F</t>
  </si>
  <si>
    <t>M06239AC02AA02000000000000000F</t>
  </si>
  <si>
    <t>M06300AC02AA02000000000000000F</t>
  </si>
  <si>
    <t>M06600AC02AA02000000000000000F</t>
  </si>
  <si>
    <t>M06120AC04AC0300000000000AA00F</t>
  </si>
  <si>
    <t>M06239AC04AC0300000000000AA00F</t>
  </si>
  <si>
    <t>M06300AC04AC0300000000000AA00F</t>
  </si>
  <si>
    <t>M06381AC01AA02000000000000000F</t>
  </si>
  <si>
    <t>M06300AC02AA0200022000000AE00F</t>
  </si>
  <si>
    <t>M06150AC02AC03000000000000000F</t>
  </si>
  <si>
    <t>M06300AC02AB0200001000000AA00F</t>
  </si>
  <si>
    <t>M06300AC02AA02000030000000000F</t>
  </si>
  <si>
    <t>M06381AC02AB02000000000000000F</t>
  </si>
  <si>
    <t>M06239AL17AD13A0000002100AA00F</t>
  </si>
  <si>
    <t>M06190AC02AC0300001000000AA00F</t>
  </si>
  <si>
    <t>M06300AC04AB0200000000000AA00F</t>
  </si>
  <si>
    <t>M06300AC02AA02000060000000000F</t>
  </si>
  <si>
    <t>M06150AA00AA060000000010000AAF</t>
  </si>
  <si>
    <t>M06120AA00AA02000000000000000F</t>
  </si>
  <si>
    <t>M06239AA00AA02000000000000000F</t>
  </si>
  <si>
    <t>M06120AA00AC0300000000000AA00F</t>
  </si>
  <si>
    <t>M06150AA00AC0300000000000AA00F</t>
  </si>
  <si>
    <t>M06190AA00AC0300000000000AA00F</t>
  </si>
  <si>
    <t>M06300AA00AC0300000000000AA00F</t>
  </si>
  <si>
    <t>M06600AA00AC0300000000000AA00F</t>
  </si>
  <si>
    <t>M06381AA00AA02000000000000000F</t>
  </si>
  <si>
    <t>M06381AA00AB02000000000000000F</t>
  </si>
  <si>
    <t>M06239AA00AD04000000002000000F</t>
  </si>
  <si>
    <t>M06120AA00AA0600000003000AG00F</t>
  </si>
  <si>
    <t>M06190AA00AA0600000003100AG00F</t>
  </si>
  <si>
    <t>M06190AA00AA11000000003000000F</t>
  </si>
  <si>
    <t>M06300AA00AA11000000003000000F</t>
  </si>
  <si>
    <t>M06300AA00AB0700020000500AE00F</t>
  </si>
  <si>
    <t>M06190AA00AA0200000AB00000000F</t>
  </si>
  <si>
    <t>M06450AA00AA02000000000000000F</t>
  </si>
  <si>
    <t>M06120AA00AA0600001003000AP00F</t>
  </si>
  <si>
    <t>M06300AA00AG1000630002500AE00F</t>
  </si>
  <si>
    <t>MT0062AA02AA0000000000002AA00A</t>
  </si>
  <si>
    <t>M10210AA01AA01000000000000000C</t>
  </si>
  <si>
    <t>M10293AA01AA01000000000000000C</t>
  </si>
  <si>
    <t>M10406AA01AA01000000000000000C</t>
  </si>
  <si>
    <t>M10574AA01AA01000000000000000C</t>
  </si>
  <si>
    <t>M10210AA03AA01000000000000000C</t>
  </si>
  <si>
    <t>M10293AA03AA01000000000000000C</t>
  </si>
  <si>
    <t>M10406AA03AA01000000000000000C</t>
  </si>
  <si>
    <t>M10574AA03AA01000000000000000C</t>
  </si>
  <si>
    <t>M10210AA02AA01000000000000000C</t>
  </si>
  <si>
    <t>M10293AA02AA01000000000000000C</t>
  </si>
  <si>
    <t>M10210AA01AB01000000000000000C</t>
  </si>
  <si>
    <t>M10293AA01AB01000000000000000C</t>
  </si>
  <si>
    <t>M10406AA01AB01000000000000000C</t>
  </si>
  <si>
    <t>M10574AA01AB01000000000000000C</t>
  </si>
  <si>
    <t>M10293AA03AB01000000000000000C</t>
  </si>
  <si>
    <t>M10574AA03AB01000000000000000C</t>
  </si>
  <si>
    <t>M10293AA02AB01000000000000000C</t>
  </si>
  <si>
    <t>M10293AA03AA01000020000000000C</t>
  </si>
  <si>
    <t>M10574AA01AB0100000000000AA00C</t>
  </si>
  <si>
    <t>M10574AA03AA0100000000000AG00C</t>
  </si>
  <si>
    <t>M10293AA01AA0100000000000AA00C</t>
  </si>
  <si>
    <t>M10574AA01AA0100000000000AA00C</t>
  </si>
  <si>
    <t>M10293AA01AB01000040000000000C</t>
  </si>
  <si>
    <t>M10406AB01AA01000000000000000C</t>
  </si>
  <si>
    <t>M10574AB01AA01000000000000000C</t>
  </si>
  <si>
    <t>M10210AB02AA01000000000000000C</t>
  </si>
  <si>
    <t>M10293AB02AA01000000000000000C</t>
  </si>
  <si>
    <t>M10406AB02AA01000000000000000C</t>
  </si>
  <si>
    <t>M10574AB02AA01000000000000000C</t>
  </si>
  <si>
    <t>M10574AB01AB01000000000000000C</t>
  </si>
  <si>
    <t>M10406AB02AB01000000000000000C</t>
  </si>
  <si>
    <t>M10574AB02AB01000000000000000C</t>
  </si>
  <si>
    <t>M10406AB02AA0100000AA00000000C</t>
  </si>
  <si>
    <t>ADK15AG04AA0100000000F0A</t>
  </si>
  <si>
    <t>ADK15AP03AR0100000000A0A</t>
  </si>
  <si>
    <t>ADK20AB45AA0300000000F0A</t>
  </si>
  <si>
    <t>ADK20AB03AA010000000000A</t>
  </si>
  <si>
    <t>ADK20AB98AH0100000000A0A</t>
  </si>
  <si>
    <t>ADK24AB03AA15000AA000A0A</t>
  </si>
  <si>
    <t>ADK15AM98BA0600000190M0A</t>
  </si>
  <si>
    <t>ADK30AB11AA01000AA000A0A</t>
  </si>
  <si>
    <t>ADK30AB03AA15000AA000A0A</t>
  </si>
  <si>
    <t>ADK15AB10AE020000000000A</t>
  </si>
  <si>
    <t>ADK20BE98AA010000011000A</t>
  </si>
  <si>
    <t>ADK10AB03AA01000AA00000A</t>
  </si>
  <si>
    <t>ADK30AJ02AE0900000000A0A</t>
  </si>
  <si>
    <t>ADK24AH08AC0200000000A0A</t>
  </si>
  <si>
    <t>ADK24AF06AB010000000A00A</t>
  </si>
  <si>
    <t>ADK15AH08AG0200000000A0A</t>
  </si>
  <si>
    <t>ADK20AH08AG0200000000A0A</t>
  </si>
  <si>
    <t>ADK25AC04AA010000000000A</t>
  </si>
  <si>
    <t>ADK20BH97AD0000000150A0A</t>
  </si>
  <si>
    <t>ADK15AJ10AE020000000000A</t>
  </si>
  <si>
    <t>ADK25AJ04AA010000000000A</t>
  </si>
  <si>
    <t>ADK20AT17AJ1900000170A0A</t>
  </si>
  <si>
    <t>ADK25AH10AG020000000000A</t>
  </si>
  <si>
    <t>ADK10AJ06AB010000000000A</t>
  </si>
  <si>
    <t>ADK20AJ04AD010000000000A</t>
  </si>
  <si>
    <t>ADK12AJ06AA000000000000A</t>
  </si>
  <si>
    <t>ADK12AF04AB010000000AA0A</t>
  </si>
  <si>
    <t>ADK15AJ04AE020000000AA0A</t>
  </si>
  <si>
    <t>ADK30AJ04BC0000000230SVA</t>
  </si>
  <si>
    <t>ADK10AH10AC0200000000A0A</t>
  </si>
  <si>
    <t>ADK30AH10AG0200000000A0A</t>
  </si>
  <si>
    <t>ADK24AJ08AE000000000000A</t>
  </si>
  <si>
    <t>ADK30AE00AA010000000000A</t>
  </si>
  <si>
    <t>ADS15BB05AA0100000B060A0A</t>
  </si>
  <si>
    <t xml:space="preserve">SHAFT SUB-ASSEMBLY  </t>
  </si>
  <si>
    <t xml:space="preserve">GEROLER SUB-ASSEMBLY  </t>
  </si>
  <si>
    <t>ACB49H07AA10000E</t>
  </si>
  <si>
    <t>ACB49H05AA100A0E</t>
  </si>
  <si>
    <t>ACB49H05AD00000E</t>
  </si>
  <si>
    <t>ACB60H05AD00000E</t>
  </si>
  <si>
    <t>ACB76H05AD00000E</t>
  </si>
  <si>
    <t>ACB95H05AD00000E</t>
  </si>
  <si>
    <t>ACB76H08AD00000E</t>
  </si>
  <si>
    <t>ACB49H05AD10000E</t>
  </si>
  <si>
    <t>ACB76H05AD10000E</t>
  </si>
  <si>
    <t>ACB76H08AE00000E</t>
  </si>
  <si>
    <t>ACB95H05AB00000E</t>
  </si>
  <si>
    <t>ACB49H05AE000A0E</t>
  </si>
  <si>
    <t>ACB60H08EN000A0E</t>
  </si>
  <si>
    <t>ACB49D09AD00000E</t>
  </si>
  <si>
    <t>ACB35A00AD100B0E</t>
  </si>
  <si>
    <t>ACB49C00CB000C0E</t>
  </si>
  <si>
    <t>ACB95C00CB000C0E</t>
  </si>
  <si>
    <t>ACB60C00EA017A0E</t>
  </si>
  <si>
    <t>ACB39C00EA017A0E</t>
  </si>
  <si>
    <t>ADL35A00AA00000E</t>
  </si>
  <si>
    <t>ADL31A00AC000A0E</t>
  </si>
  <si>
    <t>ADL20A00AA000A0E</t>
  </si>
  <si>
    <t>ADP60C00AR500C0B</t>
  </si>
  <si>
    <t>ADP60C00AR300C0B</t>
  </si>
  <si>
    <t>ADL35F07AA206A0E</t>
  </si>
  <si>
    <t>ADL31F08AA10000E</t>
  </si>
  <si>
    <t>ADL35F08AA10000E</t>
  </si>
  <si>
    <t>ADL48H10BB00000E</t>
  </si>
  <si>
    <t>ADL31M25EB208A0E</t>
  </si>
  <si>
    <t>ADL38F07AA10000E</t>
  </si>
  <si>
    <t>ADL48F07AA10000E</t>
  </si>
  <si>
    <t>ADL38F08AA10000E</t>
  </si>
  <si>
    <t>ADL57C04AA10000E</t>
  </si>
  <si>
    <t>ADL35H10BB10000E</t>
  </si>
  <si>
    <t>ADL38H10BB10000E</t>
  </si>
  <si>
    <t>ADL35F07AA00000E</t>
  </si>
  <si>
    <t>ADL38F07AA00000E</t>
  </si>
  <si>
    <t>ADL42F07AA00000E</t>
  </si>
  <si>
    <t>ADL57F07AA00000E</t>
  </si>
  <si>
    <t>ADL31F08AA00000E</t>
  </si>
  <si>
    <t>ADL31F02AA00000E</t>
  </si>
  <si>
    <t>ADL57C02AA00000E</t>
  </si>
  <si>
    <t>ADL31H10BB00000E</t>
  </si>
  <si>
    <t>ADL38H10BB00000E</t>
  </si>
  <si>
    <t>ADL57H10BB00000E</t>
  </si>
  <si>
    <t>ADL38H09BB00000E</t>
  </si>
  <si>
    <t>ADL38H10BB000A0E</t>
  </si>
  <si>
    <t>ADL24M20AA208K0E</t>
  </si>
  <si>
    <t>ADL24M20AA224J0E</t>
  </si>
  <si>
    <t>ADL31M20AA224J0E</t>
  </si>
  <si>
    <t>ADL35H10BB200A0E</t>
  </si>
  <si>
    <t>ADL35M20AA10800E</t>
  </si>
  <si>
    <t>ADL57F07AA20000E</t>
  </si>
  <si>
    <t>ADL35M20AA12700E</t>
  </si>
  <si>
    <t>ADL24M20AA108K0E</t>
  </si>
  <si>
    <t>ADL31C04AA200J0E</t>
  </si>
  <si>
    <t>ADL20F08AA100A0E</t>
  </si>
  <si>
    <t>ADL20F07AA00000E</t>
  </si>
  <si>
    <t>ADL20F08AA00000E</t>
  </si>
  <si>
    <t>ADL20H10BB00000E</t>
  </si>
  <si>
    <t>ADL24C18AA225K0E</t>
  </si>
  <si>
    <t>ADL24H09BB10000E</t>
  </si>
  <si>
    <t>ADL35F23AA00600E</t>
  </si>
  <si>
    <t>ADL20F02AA00000E</t>
  </si>
  <si>
    <t>ADL57F07AA20600E</t>
  </si>
  <si>
    <t>ADL57F08AC000A0E</t>
  </si>
  <si>
    <t>ADL24H10BB100K0E</t>
  </si>
  <si>
    <t>ADL24H10BB00000E</t>
  </si>
  <si>
    <t>ADT31F08AA10000D</t>
  </si>
  <si>
    <t>ADT38F08AA10000D</t>
  </si>
  <si>
    <t>ADT42F08AA10000D</t>
  </si>
  <si>
    <t>ADT48F08AA10000D</t>
  </si>
  <si>
    <t>ADT42H09BB20000D</t>
  </si>
  <si>
    <t>ADT20F08AA10000D</t>
  </si>
  <si>
    <t>ADT24F08AA10000D</t>
  </si>
  <si>
    <t>ADT20F08AA00000D</t>
  </si>
  <si>
    <t>ADT24G02AA100A0D</t>
  </si>
  <si>
    <t>MDL143AA02AA000000000AA00B</t>
  </si>
  <si>
    <t>MDL121AA02AA000000000AA00B</t>
  </si>
  <si>
    <t>MDL183AA02AA000000000AA00B</t>
  </si>
  <si>
    <t>MDL069AA02AA000000000AA00B</t>
  </si>
  <si>
    <t>MDL089AA02AA000000000AA00B</t>
  </si>
  <si>
    <t>MDL212AA02AA000000000AA00B</t>
  </si>
  <si>
    <t>MDL287AA02AA000000000AA00B</t>
  </si>
  <si>
    <t>MDL069AA02AA000000001AA00B</t>
  </si>
  <si>
    <t>MDL089AA02AA000000001AA00B</t>
  </si>
  <si>
    <t>MDL121AA02AA000000001AA00B</t>
  </si>
  <si>
    <t>MDL183AA02AA000000001AA00B</t>
  </si>
  <si>
    <t>MDL154AA06AA000000000AA00B</t>
  </si>
  <si>
    <t>MDL143AA07AA000000000AA00B</t>
  </si>
  <si>
    <t>MDL143AA02AA000000000AB00B</t>
  </si>
  <si>
    <t>MDL241AA06AA001000000AB00B</t>
  </si>
  <si>
    <t>MDL460AA01AA0C0000000AA00B</t>
  </si>
  <si>
    <t>MDL183AB04AA000000000AA00B</t>
  </si>
  <si>
    <t>MDL183AA07AA000000000AA00B</t>
  </si>
  <si>
    <t>MDL241AB07AA000000000AB00B</t>
  </si>
  <si>
    <t>MDL331AB07AA000000000AB00B</t>
  </si>
  <si>
    <t>MDL241AB01AA000000000AA00B</t>
  </si>
  <si>
    <t>MDL212AA12AA0E0000000AB00B</t>
  </si>
  <si>
    <t>MDL331AA01AA000000000AA00B</t>
  </si>
  <si>
    <t>MDL183AB07AA000000000AB00B</t>
  </si>
  <si>
    <t>MDL287AB07AA000000000AB00B</t>
  </si>
  <si>
    <t>MDL287AA01AA000000000AB00B</t>
  </si>
  <si>
    <t>MDL183AB13AA000000000AB00B</t>
  </si>
  <si>
    <t>MDL183AA02AC000000001AB00B</t>
  </si>
  <si>
    <t>MDL154AA02AC000000001AB00B</t>
  </si>
  <si>
    <t>MDL121AB02AC0B0000000AB00B</t>
  </si>
  <si>
    <t>MDL089AA02AC0B0000001AJ00B</t>
  </si>
  <si>
    <t>MDL121AB02AC0B0000001AJ00B</t>
  </si>
  <si>
    <t>MDL089AA02AC0B0000000AB00B</t>
  </si>
  <si>
    <t>MDL121AA02AC0E4000000AB00B</t>
  </si>
  <si>
    <t>MDL143AA02AC0E4000000AB00B</t>
  </si>
  <si>
    <t>MDL183AA02AC0E4000000AB00B</t>
  </si>
  <si>
    <t>MDL212AA02AC0E4000000AB00B</t>
  </si>
  <si>
    <t>MDL089AB07AA000000000AB00B</t>
  </si>
  <si>
    <t>MDL143AA07AA000000000AB00B</t>
  </si>
  <si>
    <t>MDL241AB04AA000000000AB00B</t>
  </si>
  <si>
    <t>MDL121AA01AC000000000AB00B</t>
  </si>
  <si>
    <t>MDL069AA02AC0E0000000AB00B</t>
  </si>
  <si>
    <t>MDL331AA01AA0C0000000AA00B</t>
  </si>
  <si>
    <t>MDL241AB04AA0C0000000AB00B</t>
  </si>
  <si>
    <t>MDL121AA02AA000000000AN00B</t>
  </si>
  <si>
    <t>MDL241AA03AA004000000AH00B</t>
  </si>
  <si>
    <t>MDL331AA03AA004000000AH00B</t>
  </si>
  <si>
    <t>MDL241AB01AA000000000AB00B</t>
  </si>
  <si>
    <t>MDL183AA12AC000000001AF00B</t>
  </si>
  <si>
    <t>MDL154AA12AC0E0000000AB00B</t>
  </si>
  <si>
    <t>MDL154AA01AC000000000AA00B</t>
  </si>
  <si>
    <t>MDL143AA08AA000000000AA00B</t>
  </si>
  <si>
    <t>MDL107AC08AC000000000AB00B</t>
  </si>
  <si>
    <t>MDL121AC08AC000000000AB00B</t>
  </si>
  <si>
    <t>MDL331AB08AC000000000AB00B</t>
  </si>
  <si>
    <t>MDL460AB08AC0C0000000AB00B</t>
  </si>
  <si>
    <t>MDL143AB04AA000000000AB00B</t>
  </si>
  <si>
    <t>MDL241AB08AC000000000AB00B</t>
  </si>
  <si>
    <t>MDL331AA07AA0C0000000AB00B</t>
  </si>
  <si>
    <t>MDL089AB01AC000000000AA00B</t>
  </si>
  <si>
    <t>MDL154AC08AA000000001AB00B</t>
  </si>
  <si>
    <t>MDL183AC08AA000000001AB00B</t>
  </si>
  <si>
    <t>MDL331AA01AA0C0000000AB00B</t>
  </si>
  <si>
    <t>MDL089AB04AA000000000AB00B</t>
  </si>
  <si>
    <t>MDL143AA02AC000000000AB00B</t>
  </si>
  <si>
    <t>MDL183AB08AC000000000AB00B</t>
  </si>
  <si>
    <t>MDL121AB08AC000000000AB00B</t>
  </si>
  <si>
    <t>MDL241AA05AC0C0000000AB00B</t>
  </si>
  <si>
    <t>MDL183AA02AC0D0000000AB00B</t>
  </si>
  <si>
    <t>MDL287AA06AA0C0000001AB00B</t>
  </si>
  <si>
    <t>MDL143AA08AC000000000AB00B</t>
  </si>
  <si>
    <t>MDL154AA08AC000000000AB00B</t>
  </si>
  <si>
    <t>MDL212AA08AC0C0000000AB00B</t>
  </si>
  <si>
    <t>MDL331AA08AC0C0000000AB00B</t>
  </si>
  <si>
    <t>MDL154AB08AC000000000AB00B</t>
  </si>
  <si>
    <t>MDL089AB08AC000000000AB00B</t>
  </si>
  <si>
    <t>MDL143AA02AA000000000AP00B</t>
  </si>
  <si>
    <t>MDL069AA02AC000000001AB00B</t>
  </si>
  <si>
    <t>MDL089AA02AC000000001AB00B</t>
  </si>
  <si>
    <t>MDL121AA02AC000000000AB00B</t>
  </si>
  <si>
    <t>MDL121AA02AC000000001AB00B</t>
  </si>
  <si>
    <t>MDL143AA02AC000000001AB00B</t>
  </si>
  <si>
    <t>MDL154AA02AC000000000AB00B</t>
  </si>
  <si>
    <t>MDL212AA02AC0C0000000AB00B</t>
  </si>
  <si>
    <t>MDL212AA02AC0C0000001AB00B</t>
  </si>
  <si>
    <t>MDL287AA05AC0C0000000AB00B</t>
  </si>
  <si>
    <t>MDL287AA05AC0C0000001AB00B</t>
  </si>
  <si>
    <t>MDL331AA05AC0C0000000AB00B</t>
  </si>
  <si>
    <t>MDL331AA05AC0C0000001AB00B</t>
  </si>
  <si>
    <t>MDL396AA05AC0C0000000AB00B</t>
  </si>
  <si>
    <t>MDL396AA05AC0C0000001AB00B</t>
  </si>
  <si>
    <t>MDL460AA05AC0C0000000AB00B</t>
  </si>
  <si>
    <t>MDL460AA05AC0C0000001AB00B</t>
  </si>
  <si>
    <t>MDL212AA04AC0C0000000AB00B</t>
  </si>
  <si>
    <t>MDL069AB08AC000000000AB00B</t>
  </si>
  <si>
    <t>MDL183AA02AA000000000AB00B</t>
  </si>
  <si>
    <t>MDL121AA02AA000000001AB00B</t>
  </si>
  <si>
    <t xml:space="preserve">DELTA MOTOR/LG BLACK  </t>
  </si>
  <si>
    <t>MDL143AF02AA000000001AB00B</t>
  </si>
  <si>
    <t>MDL183AB16AC000000000AB00B</t>
  </si>
  <si>
    <t>MDL183AB08AC000000001AB00B</t>
  </si>
  <si>
    <t>MDL212AB08AC0C0000000AB00B</t>
  </si>
  <si>
    <t>MDL107AB08AC000000000AB00B</t>
  </si>
  <si>
    <t>MDL241AB04AA0C0000000AA00B</t>
  </si>
  <si>
    <t>MDL287AB04AA0C0000000AA00B</t>
  </si>
  <si>
    <t>MDL089AB07AC000000000AB00B</t>
  </si>
  <si>
    <t>MDL460AB07AC0C0000000AB00B</t>
  </si>
  <si>
    <t>MDL287AB04AA000000000AB00B</t>
  </si>
  <si>
    <t>MHP31A21SA02AA060000000000000C</t>
  </si>
  <si>
    <t>MHP31A41SA07AE04000000000AA00C</t>
  </si>
  <si>
    <t>MHP31B41AA02AA060002000000000C</t>
  </si>
  <si>
    <t>MHP31A24WA01AE04000000000AA00C</t>
  </si>
  <si>
    <t>MHP31A57BB00AA020000000000000C</t>
  </si>
  <si>
    <t>MHP32A41SA08AA010000000000000C</t>
  </si>
  <si>
    <t>MHP32A21SA01AA060000000000000C</t>
  </si>
  <si>
    <t>MHP32A26SA01AA060000000000000C</t>
  </si>
  <si>
    <t>MHP32A24SA01AA060000000000000C</t>
  </si>
  <si>
    <t>MHP32A41SA02AC060000000000000C</t>
  </si>
  <si>
    <t>MHP32A41SA01AC060000000010000C</t>
  </si>
  <si>
    <t>MHP32A21SA02AC060000000000000C</t>
  </si>
  <si>
    <t>MHP32A29SA02AC060000000000000C</t>
  </si>
  <si>
    <t>MHP32A21SA01AC060000000000000C</t>
  </si>
  <si>
    <t>MHP32A41SA02AC060000000010000C</t>
  </si>
  <si>
    <t>MHP32A41SA01AC060000000000000C</t>
  </si>
  <si>
    <t>MHP32A29SA02AC060000000010000C</t>
  </si>
  <si>
    <t>MHP32A57SA02AC060000000000000C</t>
  </si>
  <si>
    <t>MHP32A29SA01AA060000000010000C</t>
  </si>
  <si>
    <t>MHP32A57SA01AC060000000000000C</t>
  </si>
  <si>
    <t>MHP32A57SA02AC06000000000AA00C</t>
  </si>
  <si>
    <t>MHP32A21SA08AE05000000000AA00C</t>
  </si>
  <si>
    <t>MHP32A24SE07AE04000000000AA00C</t>
  </si>
  <si>
    <t>MHP32A21SE07AE04000000000AA00C</t>
  </si>
  <si>
    <t>MHP32A29SE07AE04000000000AA00C</t>
  </si>
  <si>
    <t>MHP32A26SE07AE04000000000AA00C</t>
  </si>
  <si>
    <t>MHP32A41WA03AC060000000010000C</t>
  </si>
  <si>
    <t xml:space="preserve">PC SPRING 230-350  </t>
  </si>
  <si>
    <t xml:space="preserve">CHG PUMP S/A     CW  .85 </t>
  </si>
  <si>
    <t xml:space="preserve">CHG PUMP S/A CW 1.28  </t>
  </si>
  <si>
    <t>SHAFT CHARGE PUMP HD 39/46 .85</t>
  </si>
  <si>
    <t xml:space="preserve">SHAFT-CHG PUMP 1.28  </t>
  </si>
  <si>
    <t>CHARGE PUMP SPACER HD (96856-999)</t>
  </si>
  <si>
    <t xml:space="preserve">CHARGE PUMP SPACER HD  </t>
  </si>
  <si>
    <t xml:space="preserve">SPACER-CHG PUMP 1.70  </t>
  </si>
  <si>
    <t xml:space="preserve">HPRV S/A 1500 PSI  </t>
  </si>
  <si>
    <t xml:space="preserve">HPRV S/A 3000 PSI  </t>
  </si>
  <si>
    <t xml:space="preserve">HPRV S/A        3500 PSI </t>
  </si>
  <si>
    <t xml:space="preserve">HPRV S/A        4000 PSI </t>
  </si>
  <si>
    <t xml:space="preserve">HPRV S/A 4500 PSI  </t>
  </si>
  <si>
    <t xml:space="preserve">HP LP RELIEF VALVE  </t>
  </si>
  <si>
    <t xml:space="preserve">HPRV S/A        5250 PSI </t>
  </si>
  <si>
    <t xml:space="preserve">HPRV S/A 5500 PSI  </t>
  </si>
  <si>
    <t xml:space="preserve">HPRV S/A   6000 PSI  </t>
  </si>
  <si>
    <t xml:space="preserve">RELIEF VALVE S/A  </t>
  </si>
  <si>
    <t xml:space="preserve">LPRV S/A   220 PSI  </t>
  </si>
  <si>
    <t xml:space="preserve">LPRV S/A    260 PSI  </t>
  </si>
  <si>
    <t xml:space="preserve">LPRV S/A 280 PSI  </t>
  </si>
  <si>
    <t xml:space="preserve">/SOCKET SET SCREW  </t>
  </si>
  <si>
    <t xml:space="preserve">BACK-UP RING (RUBBER)  </t>
  </si>
  <si>
    <t xml:space="preserve">GASKET - CHARGE PUMP  </t>
  </si>
  <si>
    <t xml:space="preserve">S/A CHECK VALVE  </t>
  </si>
  <si>
    <t>PIN-CHG PUMP DR      .85-FLSTK</t>
  </si>
  <si>
    <t>PIN-CHG PUMP DR 1.28 8 REPLACES 16246-43</t>
  </si>
  <si>
    <t xml:space="preserve">PIN-CHG PUMP DR     1.70 </t>
  </si>
  <si>
    <t xml:space="preserve">WOODRUFF KEY  </t>
  </si>
  <si>
    <t xml:space="preserve">SCREW-SPR BOX ADJUST  </t>
  </si>
  <si>
    <t>HOUSING CONTROL HD MANUAL (30559-999)</t>
  </si>
  <si>
    <t xml:space="preserve">PUMP ROTOR BALL S/A  </t>
  </si>
  <si>
    <t xml:space="preserve">KEY 3/8 X 3/8 X 2.5  </t>
  </si>
  <si>
    <t xml:space="preserve">PINTLE S/A   11  </t>
  </si>
  <si>
    <t xml:space="preserve">CHARGE PUMP S/A CCW 1.28 </t>
  </si>
  <si>
    <t xml:space="preserve">CHG PUMP S/A CCW    1.70 </t>
  </si>
  <si>
    <t xml:space="preserve">ORIFICE-CONTROL VALVE  </t>
  </si>
  <si>
    <t xml:space="preserve">CONTROL VALVE ORIFICE  </t>
  </si>
  <si>
    <t xml:space="preserve">INTERNAL RET. RING  </t>
  </si>
  <si>
    <t>INTERNAL RETAINING RING -FLSTK</t>
  </si>
  <si>
    <t>S2 INTERNAL RETAIN RING FLSTK</t>
  </si>
  <si>
    <t xml:space="preserve">VALVE-SHUTTLE  </t>
  </si>
  <si>
    <t xml:space="preserve">PLUG-VALVE  </t>
  </si>
  <si>
    <t xml:space="preserve">VLV BLOCK S/A 160 LPRV  </t>
  </si>
  <si>
    <t xml:space="preserve">GASKET END COVER  </t>
  </si>
  <si>
    <t xml:space="preserve">BALL GUIDE PV CW/STD  </t>
  </si>
  <si>
    <t xml:space="preserve">BALL GUIDE PV CCW/STD  </t>
  </si>
  <si>
    <t xml:space="preserve">ROTATING GROUP S/A  </t>
  </si>
  <si>
    <t xml:space="preserve">SLIPPER RETAINER GUIDE  </t>
  </si>
  <si>
    <t>S/A PISTON SLIPPER USE ROTATING GROUP</t>
  </si>
  <si>
    <t xml:space="preserve">PLATE BEARING  </t>
  </si>
  <si>
    <t>DOWEL CYLINDER BARREL USE ROTATING GROUP</t>
  </si>
  <si>
    <t xml:space="preserve">PUMP DRIVE SHAFT S/A 13T </t>
  </si>
  <si>
    <t xml:space="preserve">GASKET MOUNTING FLANGE  </t>
  </si>
  <si>
    <t xml:space="preserve">VAR HOUSING - PUMP 39/46 </t>
  </si>
  <si>
    <t>GASKET-PRESS OVERRIDE -FLSTK</t>
  </si>
  <si>
    <t>GASKET-VALVE BODY -FLSTK</t>
  </si>
  <si>
    <t xml:space="preserve">CARRIER LD (102097-999)  </t>
  </si>
  <si>
    <t>10-32 HEX SOC SET SCREW -FLSTK</t>
  </si>
  <si>
    <t xml:space="preserve">VLV BLOCK MANIFOLD ASSY  </t>
  </si>
  <si>
    <t xml:space="preserve">VLV BLOCK MANIFOLD ASS'Y </t>
  </si>
  <si>
    <t xml:space="preserve">V BLOCK MANIFOLD S/A  </t>
  </si>
  <si>
    <t>MOTOR DRIVE SHAFT S/A  27</t>
  </si>
  <si>
    <t>SLOTTED HEX.NUT 1 1/4-18-FLSTK</t>
  </si>
  <si>
    <t xml:space="preserve">PRESSURE RESPONSE GASKET </t>
  </si>
  <si>
    <t xml:space="preserve">SERVO LINK     P/M  </t>
  </si>
  <si>
    <t xml:space="preserve">SHUTTLE SPOOL  </t>
  </si>
  <si>
    <t>COVER M7  W/DUMP HOLE (102534-999)</t>
  </si>
  <si>
    <t xml:space="preserve">PINTLE S/A  </t>
  </si>
  <si>
    <t xml:space="preserve">ROTATING SEAL S/A  </t>
  </si>
  <si>
    <t xml:space="preserve">SERVO LINK           P/M </t>
  </si>
  <si>
    <t xml:space="preserve">STAT.SEAL S/A (9)  </t>
  </si>
  <si>
    <t xml:space="preserve">CONTROL LINK S/A  </t>
  </si>
  <si>
    <t xml:space="preserve">REMOTE HYD. CONTROL S/A  </t>
  </si>
  <si>
    <t>SHUTTLE VALVE SPRING HIGGH</t>
  </si>
  <si>
    <t>PINTLE S/A [W/DUMP VALVEE] GK30</t>
  </si>
  <si>
    <t xml:space="preserve">SHAFT INCHING VALVE HD  </t>
  </si>
  <si>
    <t xml:space="preserve">PRESS. RESPONSE S/A   45 </t>
  </si>
  <si>
    <t xml:space="preserve">CONTROL BLOCK GASKET  </t>
  </si>
  <si>
    <t xml:space="preserve">A-PAD SHAFT SEAL  </t>
  </si>
  <si>
    <t>O ING - SPECIAL  (CHG P U</t>
  </si>
  <si>
    <t xml:space="preserve">CAM RING LD M11 HARDENED </t>
  </si>
  <si>
    <t xml:space="preserve">HI-LD PUMP SERVO PISTON  </t>
  </si>
  <si>
    <t>HI-LD SERVO PISTON S/A PUMP 76</t>
  </si>
  <si>
    <t xml:space="preserve">CONTROL LINK ASSEMBLY  </t>
  </si>
  <si>
    <t>CONTROL PISTON S/A 72-2117</t>
  </si>
  <si>
    <t xml:space="preserve">PLATE SLIPPER RET.  </t>
  </si>
  <si>
    <t xml:space="preserve">THRUST PLATE  (STAMPED)  </t>
  </si>
  <si>
    <t xml:space="preserve">PLATE,THRUST  </t>
  </si>
  <si>
    <t xml:space="preserve">CONNECTOR-CONTROL  </t>
  </si>
  <si>
    <t>CONNECTOR-CONTROL (L/O) (102753-000)</t>
  </si>
  <si>
    <t>CONTROL LINK SUBASSEMBLY( POR )</t>
  </si>
  <si>
    <t>CONTROL LINK  (SHORT) FLSTK</t>
  </si>
  <si>
    <t xml:space="preserve">PUMP CV S/A W/NEUT. L/O  </t>
  </si>
  <si>
    <t xml:space="preserve">PUMP CONTROL VALVE S/A  </t>
  </si>
  <si>
    <t xml:space="preserve">PUMP CV S/A W/DETENT  </t>
  </si>
  <si>
    <t xml:space="preserve">SNAP RING FOR 1.00 SHAFT </t>
  </si>
  <si>
    <t xml:space="preserve">B-PAD GASKET  </t>
  </si>
  <si>
    <t>A-PAD GASKET (MTG FLANGE)</t>
  </si>
  <si>
    <t xml:space="preserve">HP RELIEF VALVE S/A 65  </t>
  </si>
  <si>
    <t>P/S CHARGE PUMP GASKET -FLSTK</t>
  </si>
  <si>
    <t xml:space="preserve">MV DRIVE SHAFT S/A 13T-8 </t>
  </si>
  <si>
    <t xml:space="preserve">NEEDLE ROLLER  </t>
  </si>
  <si>
    <t>NEEDLE ROLLER 5/32 DIA LFLSTK</t>
  </si>
  <si>
    <t xml:space="preserve">LP RELIEF VALVE S/A  </t>
  </si>
  <si>
    <t>S2  7/16-14 HX HD BLT GR-8-FLSTK</t>
  </si>
  <si>
    <t>1/2-13 HEX HD BOLT GR-8-FLSTK</t>
  </si>
  <si>
    <t xml:space="preserve">HPRV S/A W/THD PLUG 50  </t>
  </si>
  <si>
    <t xml:space="preserve">FILTER  </t>
  </si>
  <si>
    <t xml:space="preserve">RING-RETAINING-FLSTK  </t>
  </si>
  <si>
    <t xml:space="preserve">SEALING WASHER  </t>
  </si>
  <si>
    <t xml:space="preserve">CONE-BEARING 39H  </t>
  </si>
  <si>
    <t xml:space="preserve">PLATE VALVE  </t>
  </si>
  <si>
    <t xml:space="preserve">CUP BEARING  </t>
  </si>
  <si>
    <t xml:space="preserve">SPACER HD 33/39/46  </t>
  </si>
  <si>
    <t xml:space="preserve">ROTATING GROUP S/A 39H  </t>
  </si>
  <si>
    <t xml:space="preserve">PLATE,BEARING  </t>
  </si>
  <si>
    <t xml:space="preserve">SLIPPER RET. PLATE   39H </t>
  </si>
  <si>
    <t xml:space="preserve">A-PAD CHARGE PUMP SHAFT  </t>
  </si>
  <si>
    <t>B-PAD CHG PUMP  CCW128 S/A</t>
  </si>
  <si>
    <t>B-PAD CHARGE PUMP S/A S-1</t>
  </si>
  <si>
    <t xml:space="preserve">B-PAD CHG PUMP S/A CW170 </t>
  </si>
  <si>
    <t xml:space="preserve">B-PAD CHG PUMP SA CCW170 </t>
  </si>
  <si>
    <t xml:space="preserve">A-PAD CHG PUMP S/A.85CCW </t>
  </si>
  <si>
    <t>CHARGE PUMP BODY HD BP 1.1251 (30515-999)</t>
  </si>
  <si>
    <t xml:space="preserve">SEAL-SHAFT 1.12ID  1.88  </t>
  </si>
  <si>
    <t xml:space="preserve">B-PAD CHG PUMP SHAFT .85 </t>
  </si>
  <si>
    <t xml:space="preserve">B-PAD CHG PUMP SHAFT1.28 </t>
  </si>
  <si>
    <t xml:space="preserve">B-PAD CHG PUMP SHAFT1.70 </t>
  </si>
  <si>
    <t>BUSHING-SHAFT 1.00 B-PADFLSTK</t>
  </si>
  <si>
    <t>BUSHING-SHAFT 1.13 B-PADFLSTK</t>
  </si>
  <si>
    <t xml:space="preserve">SPLINED COUPLING  </t>
  </si>
  <si>
    <t xml:space="preserve">PUMP SHAFT S/A 13T 76  </t>
  </si>
  <si>
    <t xml:space="preserve">PUMP SHAFT S/A 27T 76  </t>
  </si>
  <si>
    <t>CHARGE PUMP COVER HD A-PAD (102571-999)</t>
  </si>
  <si>
    <t>BALL GUIDE PV CCW/PROPELL</t>
  </si>
  <si>
    <t xml:space="preserve">B-PAD CHG PUMP SA CW 128 </t>
  </si>
  <si>
    <t>HPRV S/A W/THD PLUG 65000</t>
  </si>
  <si>
    <t>HIGH PRESSURE RELIEF VALLVE</t>
  </si>
  <si>
    <t>COVER S/A 6-7 KIT IS 990077-000</t>
  </si>
  <si>
    <t>COVER M-6/7 &amp; 708 KIT IS 990077-000</t>
  </si>
  <si>
    <t xml:space="preserve">DRIVE SHAFT FC MOTOR  </t>
  </si>
  <si>
    <t xml:space="preserve">P/S CHG PUMP S/A 1.28 CW </t>
  </si>
  <si>
    <t xml:space="preserve">BEARING CUP  </t>
  </si>
  <si>
    <t xml:space="preserve">BEARING CONE  </t>
  </si>
  <si>
    <t xml:space="preserve">ROT GRP W/VAR SWASH S/A  </t>
  </si>
  <si>
    <t>HOUSING HD SERIES 1 54/64 PUMP (103805-999)</t>
  </si>
  <si>
    <t xml:space="preserve">CUP-BEARING   54H/64H  </t>
  </si>
  <si>
    <t xml:space="preserve">CONE-BEARING     54H/64H </t>
  </si>
  <si>
    <t xml:space="preserve">THRUST PLATE MF33/64  </t>
  </si>
  <si>
    <t xml:space="preserve">SLIPPER RET PLATE   64H  </t>
  </si>
  <si>
    <t>VALVE PLATE M54 PROPEL CCW</t>
  </si>
  <si>
    <t xml:space="preserve">ROTATING GROUP S/A   54H </t>
  </si>
  <si>
    <t xml:space="preserve">SLIPPER RET PLATE   54H  </t>
  </si>
  <si>
    <t>BARREL/SLEEVE HD 54 S/A (103855-998)</t>
  </si>
  <si>
    <t xml:space="preserve">ROT GRP W/FXD S/P S/A64H </t>
  </si>
  <si>
    <t xml:space="preserve">ROT GRP W/FXD S/P S/A54H </t>
  </si>
  <si>
    <t>PLATE VALVE HD 64 PROPELCW (105099-998)</t>
  </si>
  <si>
    <t xml:space="preserve">PUMP VALVE PLATE CW  </t>
  </si>
  <si>
    <t xml:space="preserve">CONTROL SHAFT  </t>
  </si>
  <si>
    <t>MOTOR ROTOR-BALL S/A  6/7</t>
  </si>
  <si>
    <t xml:space="preserve">SEALING RING  </t>
  </si>
  <si>
    <t xml:space="preserve">O RING  </t>
  </si>
  <si>
    <t xml:space="preserve">BEARING PLATE  </t>
  </si>
  <si>
    <t>HOUSING HD SERIES 1 33/39/46 MOTOR FIXED S/A</t>
  </si>
  <si>
    <t>PLT. VLV. 46H PROPEL CCW(104189-998)</t>
  </si>
  <si>
    <t xml:space="preserve">PUMP SHAFT S/A 14T  46FC </t>
  </si>
  <si>
    <t xml:space="preserve">MOUNTING FLANGE  </t>
  </si>
  <si>
    <t xml:space="preserve">PLATE SLIPPER RET.MF46  </t>
  </si>
  <si>
    <t>VAR SWASHPLATE S/A33-46FF</t>
  </si>
  <si>
    <t>PLT. VLV. 33/39H PROPEL CCW</t>
  </si>
  <si>
    <t>PLATE VALVE HD 54 PROPELCW 105104-998</t>
  </si>
  <si>
    <t xml:space="preserve">CONTROL SHAFT S/A  </t>
  </si>
  <si>
    <t>RES.BODY REPL.103434-0000</t>
  </si>
  <si>
    <t xml:space="preserve">MOTOR DRIVE SHAFT S/A  </t>
  </si>
  <si>
    <t xml:space="preserve">SERVO PISTON  </t>
  </si>
  <si>
    <t xml:space="preserve">RMT HYD CONT S/AWB 0-150 </t>
  </si>
  <si>
    <t xml:space="preserve">VAR. SWASHPLATE S/A  </t>
  </si>
  <si>
    <t>PISTON/SHOE HD 64 S/A (104489-000 &amp;113173-000)</t>
  </si>
  <si>
    <t xml:space="preserve">ROTATING GROUP S/A   64H </t>
  </si>
  <si>
    <t>VALVE PLATE FC CW PROPEL, 46H</t>
  </si>
  <si>
    <t xml:space="preserve">SERVO SPRING-HEAVY  </t>
  </si>
  <si>
    <t>SCREW CAP SOC HD 3/8-16 -FLSTK</t>
  </si>
  <si>
    <t xml:space="preserve">B-PAD COVER DUAL  </t>
  </si>
  <si>
    <t>DRIVE SHAFT FC PUMP S/A,46FC</t>
  </si>
  <si>
    <t xml:space="preserve">VALVE PLUG  </t>
  </si>
  <si>
    <t xml:space="preserve">COVER S/A  </t>
  </si>
  <si>
    <t xml:space="preserve">SEAL-DUST  </t>
  </si>
  <si>
    <t xml:space="preserve">VARIABLE SWASHPLATE S/A  </t>
  </si>
  <si>
    <t xml:space="preserve">VALVE PLATE FC CCW/STD  </t>
  </si>
  <si>
    <t xml:space="preserve">END COVER GASKET IHPRV  </t>
  </si>
  <si>
    <t xml:space="preserve">PUMP DR SHAFT S/A   39FC </t>
  </si>
  <si>
    <t xml:space="preserve">DRIVE SHAFT FC PUMP  </t>
  </si>
  <si>
    <t xml:space="preserve">PUMP DRIVE SHAFT S/A  </t>
  </si>
  <si>
    <t>SHAFT HD 33/39/46 13T PUMP S/A</t>
  </si>
  <si>
    <t xml:space="preserve">FILTER MOUNTING PAD  </t>
  </si>
  <si>
    <t xml:space="preserve">VALVE PLATE FC CW/STD  </t>
  </si>
  <si>
    <t xml:space="preserve">VALVE PLATE FC CCW/STD.  </t>
  </si>
  <si>
    <t xml:space="preserve">B-PAD CHG PUMP S/A   CCW </t>
  </si>
  <si>
    <t xml:space="preserve">PUMP DR SHAFT S/A  </t>
  </si>
  <si>
    <t>SHAFT HD 54/64 21T 1.5" DIA MOTOR</t>
  </si>
  <si>
    <t xml:space="preserve">DRIVE SHAFT S/A FC PUMP  </t>
  </si>
  <si>
    <t xml:space="preserve">DRIVE SHAFT S/A FC MOTOR </t>
  </si>
  <si>
    <t>END COVER HD SERIES 3 64PUMP (50517-998)</t>
  </si>
  <si>
    <t>VALVE PLATE FC CW PROPELL</t>
  </si>
  <si>
    <t>VALVE PLATE FC CCW PROPEEL</t>
  </si>
  <si>
    <t>VLV. PLT. FC CW PROPEL 54H (MTS 58) (105104-998)</t>
  </si>
  <si>
    <t>VALVE PLATE FC CCW PROPEL, 54H</t>
  </si>
  <si>
    <t xml:space="preserve">PUMP GASKET  </t>
  </si>
  <si>
    <t xml:space="preserve">SHAFT HD 54/64 23T MOTOR </t>
  </si>
  <si>
    <t xml:space="preserve">SHAFT-MOTOR DRIVE S/A54F </t>
  </si>
  <si>
    <t xml:space="preserve">PUMP END COVER/IPOR S/A  </t>
  </si>
  <si>
    <t xml:space="preserve">SHUTTLE BLOCK  </t>
  </si>
  <si>
    <t xml:space="preserve">SERVO SLEEVE S/A  </t>
  </si>
  <si>
    <t xml:space="preserve">WET A-PAD CHRG PUMP S/A  </t>
  </si>
  <si>
    <t xml:space="preserve">P/S CHARGE PUMP S/A CCW  </t>
  </si>
  <si>
    <t>DESTROKING VALVE S/A  24VDC</t>
  </si>
  <si>
    <t xml:space="preserve">O-RING BARB FITTING S/A  </t>
  </si>
  <si>
    <t xml:space="preserve">DRIVE GEAR 12T  </t>
  </si>
  <si>
    <t xml:space="preserve">CONTROL LEVER S/A 3.00  </t>
  </si>
  <si>
    <t xml:space="preserve">VALVE BLOCK S/A  </t>
  </si>
  <si>
    <t xml:space="preserve">5-B COOLING FAN CCW  </t>
  </si>
  <si>
    <t xml:space="preserve">FAN 8" - 5 BLADE CW  </t>
  </si>
  <si>
    <t xml:space="preserve">10B COOLING FAN CCW  </t>
  </si>
  <si>
    <t xml:space="preserve">FAN 7" - 10 BLADE CW  </t>
  </si>
  <si>
    <t xml:space="preserve">POWER LIMITER VALVE  </t>
  </si>
  <si>
    <t xml:space="preserve">BEARING, CONE  </t>
  </si>
  <si>
    <t xml:space="preserve">BEARING, CUP  </t>
  </si>
  <si>
    <t>GASKET, WET C-PAD FLANGE-FLSTK</t>
  </si>
  <si>
    <t>PLATE VALVE HD 33 PUMP CW (103230-998)</t>
  </si>
  <si>
    <t xml:space="preserve">BEARING SHIM-FLSTK  </t>
  </si>
  <si>
    <t xml:space="preserve">MAGNETIC PICK-UP  </t>
  </si>
  <si>
    <t>46 RTG GRPW/FIX SWASH  S/A</t>
  </si>
  <si>
    <t>PISTON SLIPPER HD DCONV</t>
  </si>
  <si>
    <t xml:space="preserve">C-PAD END COVER S/A  </t>
  </si>
  <si>
    <t xml:space="preserve">WET B-PAD SPACER  </t>
  </si>
  <si>
    <t xml:space="preserve">SHAFT LD M11 PUMP  </t>
  </si>
  <si>
    <t>PLATE VALVE HD 64 PUMP CCW (105099-998)</t>
  </si>
  <si>
    <t xml:space="preserve">CHARGE PUMP S/A CCW 2.12 </t>
  </si>
  <si>
    <t>PLATE VALVE HD 33/39 PROPEL CCW (103230-998)</t>
  </si>
  <si>
    <t>S2 SWASH BEARING SET  33/39/46</t>
  </si>
  <si>
    <t xml:space="preserve">GASKET NP POTENTIOMETER  </t>
  </si>
  <si>
    <t>PLATE VALVE HD 46 PROPELCCW (104189-998)</t>
  </si>
  <si>
    <t>PLATE VALVE HD 46 PUMP CCW (104189-998)</t>
  </si>
  <si>
    <t xml:space="preserve">NP SHAFT SEAL SPACER  </t>
  </si>
  <si>
    <t xml:space="preserve">NP THRUST PLATE 33/39/46 </t>
  </si>
  <si>
    <t xml:space="preserve">S2 GEROTOR  SET  .85  </t>
  </si>
  <si>
    <t xml:space="preserve">S2 GEROTOR SET  1.28  </t>
  </si>
  <si>
    <t xml:space="preserve">S2 GEROTOR SET 1.70  </t>
  </si>
  <si>
    <t xml:space="preserve">S2 GEROTOR SET  2.12  </t>
  </si>
  <si>
    <t xml:space="preserve">S2 ECCENTRIC RING  </t>
  </si>
  <si>
    <t xml:space="preserve">S2 RING, ECCENTRIC  </t>
  </si>
  <si>
    <t>NEUT L/O SWITCH ADPTR SAA</t>
  </si>
  <si>
    <t>CHARGE PUMP COVER S/A HD S2 156-31</t>
  </si>
  <si>
    <t xml:space="preserve">S2 LG AUX CP CVR S/A  </t>
  </si>
  <si>
    <t xml:space="preserve">S2 DRIVE SHAFT S/A M46  </t>
  </si>
  <si>
    <t xml:space="preserve">S2 BUSHING, CHRG SHFT  </t>
  </si>
  <si>
    <t xml:space="preserve">S2 BLOCK,SLIDE M33/39/46 </t>
  </si>
  <si>
    <t xml:space="preserve">COUPLING S/A 14T  </t>
  </si>
  <si>
    <t xml:space="preserve">S2 SPRING COMPRESSION  </t>
  </si>
  <si>
    <t>S2 END COVER BEARING S/A39/46</t>
  </si>
  <si>
    <t xml:space="preserve">S2 PIN, RACE  </t>
  </si>
  <si>
    <t xml:space="preserve">PINTLE S/A       CCW  </t>
  </si>
  <si>
    <t xml:space="preserve">S2 THRUST PLATE  54/64  </t>
  </si>
  <si>
    <t xml:space="preserve">S2 BLOCK, SLIDE 54/64  </t>
  </si>
  <si>
    <t xml:space="preserve">S2 VALV PL CHRG PMP  </t>
  </si>
  <si>
    <t xml:space="preserve">SHAFT HD 54/64 23T PUMP  </t>
  </si>
  <si>
    <t xml:space="preserve">S2 M54/64 DRV SHFT S/A  </t>
  </si>
  <si>
    <t xml:space="preserve">SHAFT SEAL  </t>
  </si>
  <si>
    <t xml:space="preserve">PIN, LINKAGE  </t>
  </si>
  <si>
    <t xml:space="preserve">LINKAGE PIN, 76-FLSTK  </t>
  </si>
  <si>
    <t xml:space="preserve">S2 GASKET, END CVR 39-46 </t>
  </si>
  <si>
    <t xml:space="preserve">RESERVOIR ADAPTOR  </t>
  </si>
  <si>
    <t xml:space="preserve">S2 BACK UP RING  FLSTK  </t>
  </si>
  <si>
    <t>SHAFT S/A, HD 33/39/46 14T PUMP</t>
  </si>
  <si>
    <t xml:space="preserve">WET BPAD C/P S/A CW  </t>
  </si>
  <si>
    <t>SHAFT HD 33/39/46 21T PUMP</t>
  </si>
  <si>
    <t xml:space="preserve">S2 DRIVE SHAFT S/A 39/46 </t>
  </si>
  <si>
    <t xml:space="preserve">S2 LINK, CLOCKING  </t>
  </si>
  <si>
    <t xml:space="preserve">S2 SEAL RING  </t>
  </si>
  <si>
    <t xml:space="preserve">S2 GASKET, END CVR 54/64 </t>
  </si>
  <si>
    <t xml:space="preserve">S2 GASKET MAN CTRL  </t>
  </si>
  <si>
    <t xml:space="preserve">NC NEUT L/O SWITCH W/PC  </t>
  </si>
  <si>
    <t>S2 FEEDBACK SHAFT ASSEMBLY</t>
  </si>
  <si>
    <t xml:space="preserve">S2 DOWEL, HOLLOW  </t>
  </si>
  <si>
    <t xml:space="preserve">S2 SWASHPLATE S/A  </t>
  </si>
  <si>
    <t>SHAFT CHARGE PUMP HD SERIES 2 156-31 B-PAD</t>
  </si>
  <si>
    <t xml:space="preserve">S2 C-PAD DRIVE SHAFT  </t>
  </si>
  <si>
    <t xml:space="preserve">S2 RING, RETAINING  </t>
  </si>
  <si>
    <t>S2 54 BARREL / SLEEVE ASSY (MTS 64)</t>
  </si>
  <si>
    <t>BARREL/SLEEVE HD SERIES 2 64 S/A (109432-998)</t>
  </si>
  <si>
    <t xml:space="preserve">S2 33/39/46 SER PIST S/A </t>
  </si>
  <si>
    <t xml:space="preserve">CARTRIDGE (NC)  </t>
  </si>
  <si>
    <t xml:space="preserve">SOLENOID COIL 24 V  </t>
  </si>
  <si>
    <t xml:space="preserve">S2 46 PMP DRV SHFT S/A  </t>
  </si>
  <si>
    <t xml:space="preserve">S2 CONT LINK, EP  </t>
  </si>
  <si>
    <t xml:space="preserve">NEUT L/O SWITCH  </t>
  </si>
  <si>
    <t xml:space="preserve">S2 CONT GASKET EP  </t>
  </si>
  <si>
    <t xml:space="preserve">S2 PUMP CONTROL VLV S/A  </t>
  </si>
  <si>
    <t xml:space="preserve">SHAFT HD 54/64 13T  </t>
  </si>
  <si>
    <t xml:space="preserve">GASKET RE-CONTROL  </t>
  </si>
  <si>
    <t>PIST/SHOE HD SER 2 33/39101074-000 &amp; 110215-000</t>
  </si>
  <si>
    <t>PIST/SHOE HD SER2 64 103819-000 &amp; 110221-000</t>
  </si>
  <si>
    <t xml:space="preserve">S2 ROTATING GROUP S/A 54 </t>
  </si>
  <si>
    <t>S2 SWASH ROT GRP S/A 33/39</t>
  </si>
  <si>
    <t xml:space="preserve">S2 SEAL, STATIC FACE  </t>
  </si>
  <si>
    <t xml:space="preserve">S2 ROTATING GROUP S/A  </t>
  </si>
  <si>
    <t xml:space="preserve">S2 SWASH ROT GRP S/A 64  </t>
  </si>
  <si>
    <t>RELIEF VALVE ASSEMBLY (KNURLED)</t>
  </si>
  <si>
    <t>NP HIGH PRESSURE RELIEF VALVE</t>
  </si>
  <si>
    <t xml:space="preserve">R/V ASY (KNURLED)  </t>
  </si>
  <si>
    <t>RELIEF VALVE SUB ASSEMBLY</t>
  </si>
  <si>
    <t xml:space="preserve">R/V ASY   (KNURLED)  </t>
  </si>
  <si>
    <t xml:space="preserve">R/V ASSY  (KNURLED)  </t>
  </si>
  <si>
    <t xml:space="preserve">RELIEF VALVE SUBASSY  </t>
  </si>
  <si>
    <t xml:space="preserve">S2 HPRV  </t>
  </si>
  <si>
    <t>RELIEF VALVE ASSEMBLY  (KNURLED)</t>
  </si>
  <si>
    <t>WET B-PAD CHARGE PUMP S/A CCW</t>
  </si>
  <si>
    <t xml:space="preserve">KEY 3/8 SQ X 1.00  </t>
  </si>
  <si>
    <t xml:space="preserve">REMOTE HYD CONTROL S/A  </t>
  </si>
  <si>
    <t>S2-CONTROL LINK SUBASSEMBLY</t>
  </si>
  <si>
    <t xml:space="preserve">NP COIL ASSEMBLY  </t>
  </si>
  <si>
    <t xml:space="preserve">FEEDBACK LINK ASSY  </t>
  </si>
  <si>
    <t xml:space="preserve">FEEDBACK LINK ASSEMBLY  </t>
  </si>
  <si>
    <t>FIXED CLEAR. RET. STRAP 33/46 FLSTK</t>
  </si>
  <si>
    <t>HOUSING HD SERIES 2 54 64 PUMP (108346-999)</t>
  </si>
  <si>
    <t>S2 SWASH BEARING SET 54/64</t>
  </si>
  <si>
    <t>S2 PUMP DRIVE SHAFT S/A 54/64 S2</t>
  </si>
  <si>
    <t xml:space="preserve">DASH POT  </t>
  </si>
  <si>
    <t xml:space="preserve">SPRING VIS 2 SPEED  </t>
  </si>
  <si>
    <t xml:space="preserve">DRV-S10  </t>
  </si>
  <si>
    <t xml:space="preserve">BUSHING  </t>
  </si>
  <si>
    <t xml:space="preserve">Cradle Assy  </t>
  </si>
  <si>
    <t xml:space="preserve">Housing Subassy  </t>
  </si>
  <si>
    <t>PUMP DRIVE SHAFT S/A 33/39/46 S-3</t>
  </si>
  <si>
    <t xml:space="preserve">VALVE PLATE (LH)  </t>
  </si>
  <si>
    <t>VLV. PLT. PUMP 64 (QUIET) CW (105099-998)</t>
  </si>
  <si>
    <t>SHAFT HD 33/39/46 14T MOTOR</t>
  </si>
  <si>
    <t>MOTOR DRIVE SHAFT S/A 33/39 FC S-1</t>
  </si>
  <si>
    <t>SHAFT HD 33/39/46 21T MOTOR</t>
  </si>
  <si>
    <t xml:space="preserve">SHAFT HD 54 14T MOTOR  </t>
  </si>
  <si>
    <t xml:space="preserve">6K SECTION SEAL O RING  </t>
  </si>
  <si>
    <t xml:space="preserve">O RING - HP30  </t>
  </si>
  <si>
    <t xml:space="preserve">O-RING  VIS 30/40  </t>
  </si>
  <si>
    <t xml:space="preserve">VALVE PLATE VIS 45 2 SPE </t>
  </si>
  <si>
    <t>FIXED HOUSING S/A HD S3 33/39/46 MOTOR</t>
  </si>
  <si>
    <t xml:space="preserve">4KC GEROLER  </t>
  </si>
  <si>
    <t xml:space="preserve">7/16 SQUARE KEY  </t>
  </si>
  <si>
    <t>MOUNTING FLANGE S/A 33/39/46 S-3</t>
  </si>
  <si>
    <t>PUMP DRIVE SHAFT S/A 33/39/46</t>
  </si>
  <si>
    <t xml:space="preserve">CONTROL SPOOL   VIS 30 2 </t>
  </si>
  <si>
    <t xml:space="preserve">CONTROL SPOOL, HP30  </t>
  </si>
  <si>
    <t>PUMP DRIVE SHAFT S/A 54 FC S-3</t>
  </si>
  <si>
    <t xml:space="preserve">QUAD SENSOR  </t>
  </si>
  <si>
    <t xml:space="preserve">SENSOR  </t>
  </si>
  <si>
    <t>PLATE VALVE HD 54 PUMP CW (105104-998)</t>
  </si>
  <si>
    <t>VALVE PLATE S2 PUMP 39 CW</t>
  </si>
  <si>
    <t xml:space="preserve">4KC SPRING  </t>
  </si>
  <si>
    <t>MOTOR DRIVE SHAFT S/A 64FC S-1</t>
  </si>
  <si>
    <t>PUMP DRIVE SHAFT S/A 64 FC S-1</t>
  </si>
  <si>
    <t xml:space="preserve">S2 CONTROL S/A  </t>
  </si>
  <si>
    <t>SHAFT HD 54/64 1.5" DIA TAPERED PUMP S/A</t>
  </si>
  <si>
    <t>HOUSING S/A, HD S3 54/64MOTOR FIXED</t>
  </si>
  <si>
    <t>MOTOR DRIVE SHAFT S/A 54/64 S3</t>
  </si>
  <si>
    <t>SHAFT HD 54/64 23T 1.75"DIA MOTOR</t>
  </si>
  <si>
    <t>MOTOR DRIVE SHAFT S/A 54/64</t>
  </si>
  <si>
    <t xml:space="preserve">CAP SCREW, 12 PT  </t>
  </si>
  <si>
    <t xml:space="preserve">Cap Screw  </t>
  </si>
  <si>
    <t xml:space="preserve">ENDCOVER S/A  </t>
  </si>
  <si>
    <t xml:space="preserve">VIS 30 BPRV POPPET  </t>
  </si>
  <si>
    <t xml:space="preserve">Bypass Valve Assy  </t>
  </si>
  <si>
    <t xml:space="preserve">Backplate Subassy  </t>
  </si>
  <si>
    <t>VLV. PLT. PUMP 46 CW (MTS 52) (104189-998)</t>
  </si>
  <si>
    <t xml:space="preserve">SERVO PISTON SUBASSY  </t>
  </si>
  <si>
    <t xml:space="preserve">12 VDC COIL ASSEMBLY S2  </t>
  </si>
  <si>
    <t>S2 PUMP DRIVE SHAFT S/A 33/39/46 S2</t>
  </si>
  <si>
    <t>SPRING - HELICAL TORSION (Replaces 230391-000)</t>
  </si>
  <si>
    <t xml:space="preserve">DR SHF  </t>
  </si>
  <si>
    <t xml:space="preserve">CAP SCREW  </t>
  </si>
  <si>
    <t xml:space="preserve">CAP SCREW, 12 PT  HP30  </t>
  </si>
  <si>
    <t>CAP SCREW, 12 PT .500-20 UNRF-3A</t>
  </si>
  <si>
    <t>CHARGE PUMP S/A, P/S WETB-PAD, 1.06</t>
  </si>
  <si>
    <t>SOLENOID COIL S2 12V REPLACED BY 6035825-012</t>
  </si>
  <si>
    <t>S2  SOLENOID COIL  SUB ASSEMBLY 24V</t>
  </si>
  <si>
    <t xml:space="preserve">QUAD SPEED SENSOR S-1  </t>
  </si>
  <si>
    <t xml:space="preserve">2K OMSS DRIVE  </t>
  </si>
  <si>
    <t xml:space="preserve">DRIVE  </t>
  </si>
  <si>
    <t xml:space="preserve">DRIVE, MAIN  </t>
  </si>
  <si>
    <t>4 F Min 0  (15) GEROLER scrapped</t>
  </si>
  <si>
    <t>PUMP DRIVE SHAFT S/A 33/39/46 S3</t>
  </si>
  <si>
    <t>MOUNTING FLANGE S/A 33/39/46 S3</t>
  </si>
  <si>
    <t xml:space="preserve">SPRING  VIS 30 2SD  </t>
  </si>
  <si>
    <t>PUMP DRIVE SHAFT S/A MODEL 54-64</t>
  </si>
  <si>
    <t xml:space="preserve">SHC SCREW PHANTOM 473728 </t>
  </si>
  <si>
    <t xml:space="preserve">Back-up Ring  </t>
  </si>
  <si>
    <t>RETAINER, PACKING BACKUP POLYMYTE</t>
  </si>
  <si>
    <t xml:space="preserve">BALL BEARING WHEEL MOTOR </t>
  </si>
  <si>
    <t xml:space="preserve">PORT BLOCK KIT  </t>
  </si>
  <si>
    <t xml:space="preserve">4K SHAFT BLANK  </t>
  </si>
  <si>
    <t xml:space="preserve">4K SHAFT BLANK LONG  </t>
  </si>
  <si>
    <t xml:space="preserve">OUTPUT SHAFT FORGING 6K  </t>
  </si>
  <si>
    <t xml:space="preserve">6K VALVE PLT BLK REV E  </t>
  </si>
  <si>
    <t xml:space="preserve">OUTPUT SHFT BLANK 10K-R  </t>
  </si>
  <si>
    <t xml:space="preserve">BLANK SHFT 2K  </t>
  </si>
  <si>
    <t xml:space="preserve">SHAFT, OUTPUT (BLANK)  </t>
  </si>
  <si>
    <t xml:space="preserve">RETAINING RING  </t>
  </si>
  <si>
    <t xml:space="preserve">HEX NUT WHEEL MOTOR  </t>
  </si>
  <si>
    <t xml:space="preserve">4K/6KHEX NUT  </t>
  </si>
  <si>
    <t xml:space="preserve">6K CAP SCREW  </t>
  </si>
  <si>
    <t xml:space="preserve">2K PIN  </t>
  </si>
  <si>
    <t xml:space="preserve">HEX NUT SLOTTED  </t>
  </si>
  <si>
    <t xml:space="preserve">2K BOLT  </t>
  </si>
  <si>
    <t xml:space="preserve">BOLT 2K  </t>
  </si>
  <si>
    <t xml:space="preserve">HEX CAP SCREW 2K  </t>
  </si>
  <si>
    <t xml:space="preserve">BOLT 2K-2S  </t>
  </si>
  <si>
    <t xml:space="preserve">4K BOLT  </t>
  </si>
  <si>
    <t>HX HD CS/.4375-20NFX5.255</t>
  </si>
  <si>
    <t>HX HD CS/.4375-20NFX5.755</t>
  </si>
  <si>
    <t>HX HD CS/.4375-20NFX6.000</t>
  </si>
  <si>
    <t>HX HD CS/.4375-20NFX6.255</t>
  </si>
  <si>
    <t>HX HD CS/.4375-20NFX7.000</t>
  </si>
  <si>
    <t xml:space="preserve">SQ KEY WHEEL MOTOR  </t>
  </si>
  <si>
    <t xml:space="preserve">2K KEY  </t>
  </si>
  <si>
    <t xml:space="preserve">4K KEY  </t>
  </si>
  <si>
    <t xml:space="preserve">KEY, DELTA  </t>
  </si>
  <si>
    <t xml:space="preserve">6K KEY  </t>
  </si>
  <si>
    <t xml:space="preserve">4K/6K KEY  </t>
  </si>
  <si>
    <t xml:space="preserve">10 KEY  </t>
  </si>
  <si>
    <t xml:space="preserve">10K KEY  </t>
  </si>
  <si>
    <t xml:space="preserve">6K BOLT  </t>
  </si>
  <si>
    <t>HX HD CS/.5-20X5.50/GR 55</t>
  </si>
  <si>
    <t>HX HD CS/.5-20X6.88/GR 55</t>
  </si>
  <si>
    <t xml:space="preserve">HX HD CS/.5-20X9.0/GR 5  </t>
  </si>
  <si>
    <t>10K HX CS .625-18NFX7.400</t>
  </si>
  <si>
    <t xml:space="preserve">10K BOLT  </t>
  </si>
  <si>
    <t>10K HX CS .625-18NFX9.388</t>
  </si>
  <si>
    <t>10K HX CS.625-18NFX10.388</t>
  </si>
  <si>
    <t xml:space="preserve">6K METRIC KEY  </t>
  </si>
  <si>
    <t xml:space="preserve">KEY 4K  </t>
  </si>
  <si>
    <t xml:space="preserve">2K METRIC KEY  </t>
  </si>
  <si>
    <t xml:space="preserve">METRIC KEY FOR MOTORS  </t>
  </si>
  <si>
    <t xml:space="preserve">ORING  </t>
  </si>
  <si>
    <t xml:space="preserve">O-RING/HP30  </t>
  </si>
  <si>
    <t xml:space="preserve">O-RING W MOTOR BRAKE  </t>
  </si>
  <si>
    <t xml:space="preserve">J MOTOR SHAFT KEY  </t>
  </si>
  <si>
    <t xml:space="preserve">SEAL VIS30 2 SD /90 DURO </t>
  </si>
  <si>
    <t xml:space="preserve">SEAL SHAFT TEFLON  </t>
  </si>
  <si>
    <t xml:space="preserve">RACE (ST)  </t>
  </si>
  <si>
    <t xml:space="preserve">2K SLINGER SEAL  </t>
  </si>
  <si>
    <t xml:space="preserve">4K SLINGER SEAL  </t>
  </si>
  <si>
    <t xml:space="preserve">SLINGER SEAL  </t>
  </si>
  <si>
    <t xml:space="preserve">4KC SLINGER SEAL  </t>
  </si>
  <si>
    <t xml:space="preserve">6K SLINGER SEAL  </t>
  </si>
  <si>
    <t xml:space="preserve">SLINGER SL VIS45  </t>
  </si>
  <si>
    <t xml:space="preserve">SLINGER SEAL, 10K  </t>
  </si>
  <si>
    <t xml:space="preserve">SLINGER SEAL/DELTA  </t>
  </si>
  <si>
    <t xml:space="preserve">CAP SCREW, HEX HEAD  </t>
  </si>
  <si>
    <t>2K/10K-2SP BAL RING BACK-UP SEAL</t>
  </si>
  <si>
    <t>10K-2SP BAL RING BACK-UP SEAL</t>
  </si>
  <si>
    <t xml:space="preserve">THREADED RET. RING/V. 45 </t>
  </si>
  <si>
    <t xml:space="preserve">PRESSURE SEAL  </t>
  </si>
  <si>
    <t xml:space="preserve">SEAL VIS 45  </t>
  </si>
  <si>
    <t>WASHER, XAI-241271 (ROLEX)</t>
  </si>
  <si>
    <t xml:space="preserve">6K BIG 6 DUST SEAL  </t>
  </si>
  <si>
    <t>PISTON SEAL W MOTOR BRAKE</t>
  </si>
  <si>
    <t xml:space="preserve">6K BIG 6 SHAFT SEAL  </t>
  </si>
  <si>
    <t xml:space="preserve">6K FRT RET O-RING  </t>
  </si>
  <si>
    <t xml:space="preserve">10K SEAL  </t>
  </si>
  <si>
    <t xml:space="preserve">SEAL 10K  </t>
  </si>
  <si>
    <t xml:space="preserve">4K/6K MTG FLNG O RING  </t>
  </si>
  <si>
    <t xml:space="preserve">POPPET ASSY  </t>
  </si>
  <si>
    <t>HEX NUT, UNC (Hutch) (HD &amp; HLA)-FLSTK</t>
  </si>
  <si>
    <t xml:space="preserve">S2 JAM NUT  </t>
  </si>
  <si>
    <t xml:space="preserve">DOW PN  </t>
  </si>
  <si>
    <t xml:space="preserve">SCREW, CAP  </t>
  </si>
  <si>
    <t xml:space="preserve">WASHER C XDB3376  </t>
  </si>
  <si>
    <t xml:space="preserve">SHIM VIS-45 (CHG AT)  </t>
  </si>
  <si>
    <t xml:space="preserve">WASHER (SHIM)  </t>
  </si>
  <si>
    <t xml:space="preserve">SLEEVE  </t>
  </si>
  <si>
    <t xml:space="preserve">RETAINING RNG VIS 30  </t>
  </si>
  <si>
    <t xml:space="preserve">RET RG  </t>
  </si>
  <si>
    <t xml:space="preserve">RET RG (CHG N)  </t>
  </si>
  <si>
    <t xml:space="preserve">RET RG  (MD)  </t>
  </si>
  <si>
    <t xml:space="preserve">PG      (CHG AK)  </t>
  </si>
  <si>
    <t xml:space="preserve">SHIPPING PLUG  </t>
  </si>
  <si>
    <t xml:space="preserve">WASHER, BACKUP  </t>
  </si>
  <si>
    <t xml:space="preserve">PG SUBASSY  </t>
  </si>
  <si>
    <t>HEXAGON SOCKET PLUG/ASSY(FF2138-02S)</t>
  </si>
  <si>
    <t>O-RING [ALT]100-145- -010</t>
  </si>
  <si>
    <t xml:space="preserve">O RG (D2)  </t>
  </si>
  <si>
    <t xml:space="preserve">CP SC  </t>
  </si>
  <si>
    <t xml:space="preserve">CP SC (B COVER PLATE)  </t>
  </si>
  <si>
    <t xml:space="preserve">ST SC  </t>
  </si>
  <si>
    <t xml:space="preserve">SET SCREW  </t>
  </si>
  <si>
    <t xml:space="preserve">CP SC  (MD)  </t>
  </si>
  <si>
    <t xml:space="preserve">CP SC   (CHG H)  </t>
  </si>
  <si>
    <t xml:space="preserve">CAP SCREW, HEX SCKT HD  </t>
  </si>
  <si>
    <t>CAP SCREWS 16319-XXX</t>
  </si>
  <si>
    <t xml:space="preserve">SHF SL  </t>
  </si>
  <si>
    <t xml:space="preserve">BRG B1816  ( CHG A)  </t>
  </si>
  <si>
    <t xml:space="preserve">BRG J148  </t>
  </si>
  <si>
    <t xml:space="preserve">J MOTOR BEARING NEEDLE  </t>
  </si>
  <si>
    <t xml:space="preserve">BRG NTA1625  </t>
  </si>
  <si>
    <t xml:space="preserve">BRG NTA2233  </t>
  </si>
  <si>
    <t xml:space="preserve">J MOTOR WASHER, THRUST  </t>
  </si>
  <si>
    <t xml:space="preserve">BRG TRC1625  </t>
  </si>
  <si>
    <t xml:space="preserve">THRUST RACE  </t>
  </si>
  <si>
    <t xml:space="preserve">KEY (CHG AG)  </t>
  </si>
  <si>
    <t xml:space="preserve">KEY   420  </t>
  </si>
  <si>
    <t xml:space="preserve">SL WSH  </t>
  </si>
  <si>
    <t xml:space="preserve">S2 COUNTERSUNK WASHER  </t>
  </si>
  <si>
    <t>S2 COUNTERSUNK WASHER -FLSTK</t>
  </si>
  <si>
    <t xml:space="preserve">COUNTERSUNK WASHER  </t>
  </si>
  <si>
    <t xml:space="preserve">S2 THREAD SEAL  </t>
  </si>
  <si>
    <t xml:space="preserve">TRX BOLT 225-275INLB  </t>
  </si>
  <si>
    <t xml:space="preserve">4K/10K CAP SCREW  </t>
  </si>
  <si>
    <t xml:space="preserve">4K CAP SCREW  </t>
  </si>
  <si>
    <t xml:space="preserve">TORX HEAD BOLT  </t>
  </si>
  <si>
    <t xml:space="preserve">Screw, Cap Internal Hex  </t>
  </si>
  <si>
    <t xml:space="preserve">BRG, CUP  </t>
  </si>
  <si>
    <t>BEARING CUP same as 513434</t>
  </si>
  <si>
    <t xml:space="preserve">CAP SCREW HEX  </t>
  </si>
  <si>
    <t xml:space="preserve">PLAIN SPRG 220PSI  </t>
  </si>
  <si>
    <t xml:space="preserve">SPG     (CHG  )  </t>
  </si>
  <si>
    <t xml:space="preserve">SPG  </t>
  </si>
  <si>
    <t xml:space="preserve">SPG  (M.DUTY)  </t>
  </si>
  <si>
    <t xml:space="preserve">10K-2SP VALVE  </t>
  </si>
  <si>
    <t xml:space="preserve">SHAFT POWER END  </t>
  </si>
  <si>
    <t>HOUSING, POWER END TORQUE GENERATOR</t>
  </si>
  <si>
    <t xml:space="preserve">6K GEROLER S/A TIGHT FIT </t>
  </si>
  <si>
    <t xml:space="preserve">6K GEROLER/TIGHT FIT  </t>
  </si>
  <si>
    <t xml:space="preserve">ORB GEROTOR ASSY  </t>
  </si>
  <si>
    <t>4 56 80 (Max 172) GEROTER</t>
  </si>
  <si>
    <t xml:space="preserve">15851-001 T HSG 7/8-14  </t>
  </si>
  <si>
    <t>15851-002 T  HOUSING 1/2 NPTF</t>
  </si>
  <si>
    <t>15851-003 T  HOUSING 5/16 MAN</t>
  </si>
  <si>
    <t xml:space="preserve">HOUSING  </t>
  </si>
  <si>
    <t xml:space="preserve">T HOUSING G-1/2  </t>
  </si>
  <si>
    <t xml:space="preserve">VH J MOTOR SUB ASSY  </t>
  </si>
  <si>
    <t xml:space="preserve">BEARING HOUSING S/A  </t>
  </si>
  <si>
    <t xml:space="preserve">BEARING HOUSING  </t>
  </si>
  <si>
    <t xml:space="preserve">Spacer Plate  </t>
  </si>
  <si>
    <t xml:space="preserve">OUTPUT SHAFT  </t>
  </si>
  <si>
    <t xml:space="preserve">MIN GEROLER ASSY  </t>
  </si>
  <si>
    <t xml:space="preserve">VIS-30/45 PISTON SHUTTLE </t>
  </si>
  <si>
    <t xml:space="preserve">POPPET VIS-45  </t>
  </si>
  <si>
    <t xml:space="preserve">12V SOL COIL W/DIODE  </t>
  </si>
  <si>
    <t xml:space="preserve">SHAFT,ST,STD KEY  </t>
  </si>
  <si>
    <t xml:space="preserve">SHAFT,SPLINE6T  </t>
  </si>
  <si>
    <t xml:space="preserve">SHAFT I-016 DK BLUE  </t>
  </si>
  <si>
    <t xml:space="preserve">OUTPUT SHAFT, ST  </t>
  </si>
  <si>
    <t xml:space="preserve">SHAFT SUB-ASSY 6K-006  </t>
  </si>
  <si>
    <t xml:space="preserve">SHAFT SUB-ASSY 6K  </t>
  </si>
  <si>
    <t xml:space="preserve">6K BEARING HSG/STANDARD  </t>
  </si>
  <si>
    <t xml:space="preserve">BEARING HSG 6K-006 WHL  </t>
  </si>
  <si>
    <t xml:space="preserve">FRONT RETAINER 6K-006  </t>
  </si>
  <si>
    <t xml:space="preserve">6K FRT. RETAINER  </t>
  </si>
  <si>
    <t xml:space="preserve">6K BUTTON PLUG  </t>
  </si>
  <si>
    <t xml:space="preserve">POPPET WHEEL MOTOR  </t>
  </si>
  <si>
    <t xml:space="preserve">FRONT RETAINER VIS45  </t>
  </si>
  <si>
    <t xml:space="preserve">SHFT/BRG HSG SA 2K/SW/03 </t>
  </si>
  <si>
    <t xml:space="preserve">4KC BH  </t>
  </si>
  <si>
    <t xml:space="preserve">4K COMPACT/BEARING HSG.  </t>
  </si>
  <si>
    <t xml:space="preserve">BEARING HOUSING 4KC  </t>
  </si>
  <si>
    <t xml:space="preserve">4KC SHAFT S/A  </t>
  </si>
  <si>
    <t>4K COMPACT SHAFT SUB-ASSY</t>
  </si>
  <si>
    <t xml:space="preserve">4KC SHAFT/BRG KIT  </t>
  </si>
  <si>
    <t xml:space="preserve">PLATE, WEAR  </t>
  </si>
  <si>
    <t xml:space="preserve">4KC WEAR PLATE/SLOTTED  </t>
  </si>
  <si>
    <t xml:space="preserve">GEROLER/4K COMPACT  </t>
  </si>
  <si>
    <t xml:space="preserve">SPEED SENSOR/  </t>
  </si>
  <si>
    <t xml:space="preserve">BALANCE PL VIS-45/INNER  </t>
  </si>
  <si>
    <t xml:space="preserve">BEARING HOUSING 6K  </t>
  </si>
  <si>
    <t xml:space="preserve">GER 170-30 53T SPLINE  </t>
  </si>
  <si>
    <t xml:space="preserve">FRONT RETAINER 6K  </t>
  </si>
  <si>
    <t>BALANCE PLATE, INNER  VIS30</t>
  </si>
  <si>
    <t>DISC SPRING   VIS 30 2 S0</t>
  </si>
  <si>
    <t xml:space="preserve">BOLT (201014-001)  </t>
  </si>
  <si>
    <t xml:space="preserve">SHAFT S/A  VIS 45  </t>
  </si>
  <si>
    <t xml:space="preserve">QUAD SEAL  </t>
  </si>
  <si>
    <t xml:space="preserve">PS KIT-HORN BUTTON  </t>
  </si>
  <si>
    <t xml:space="preserve">NOISE ISOLATOR  </t>
  </si>
  <si>
    <t xml:space="preserve">KIT PORT BLOCK  </t>
  </si>
  <si>
    <t xml:space="preserve">STEERING CAP  </t>
  </si>
  <si>
    <t xml:space="preserve">SL REP KIT  </t>
  </si>
  <si>
    <t xml:space="preserve">BAL RING SUB-ASSY 4K  </t>
  </si>
  <si>
    <t xml:space="preserve">BAL RING SUB-ASSY 6K  </t>
  </si>
  <si>
    <t xml:space="preserve">10K BAL PLATE S/A  </t>
  </si>
  <si>
    <t xml:space="preserve">2K DRIVE  </t>
  </si>
  <si>
    <t xml:space="preserve">K DRIVE  </t>
  </si>
  <si>
    <t xml:space="preserve">4K DRIVE  </t>
  </si>
  <si>
    <t xml:space="preserve">DRIVE 4K  </t>
  </si>
  <si>
    <t xml:space="preserve">4K 30 CU. IN. DRIVE  </t>
  </si>
  <si>
    <t xml:space="preserve">6K DRIVE  </t>
  </si>
  <si>
    <t xml:space="preserve">SHAFT SUB-ASSY 4K  </t>
  </si>
  <si>
    <t xml:space="preserve">VALVE 2K  </t>
  </si>
  <si>
    <t xml:space="preserve">FRONT RETAINER  </t>
  </si>
  <si>
    <t xml:space="preserve">SHAFT, DRIVE  </t>
  </si>
  <si>
    <t xml:space="preserve">6F Min 25 (25) GEROTER  </t>
  </si>
  <si>
    <t>7 56 91 (Max 161) GEROTER</t>
  </si>
  <si>
    <t xml:space="preserve">GEROTOR S/A (1230CC)  </t>
  </si>
  <si>
    <t xml:space="preserve">SHAFT C-001 RED  </t>
  </si>
  <si>
    <t xml:space="preserve">SHAFT,ST,STD KY,2END  </t>
  </si>
  <si>
    <t xml:space="preserve">10K-2SP BALANCE RING  </t>
  </si>
  <si>
    <t xml:space="preserve">2K VALVE HSG/STGRD PORT  </t>
  </si>
  <si>
    <t xml:space="preserve">HOUSING VALVE MACHINING  </t>
  </si>
  <si>
    <t xml:space="preserve">HOUSING, VALVE  </t>
  </si>
  <si>
    <t xml:space="preserve">2K VH ROUNDED CORNERS  </t>
  </si>
  <si>
    <t xml:space="preserve">2K VALVE HSG/END PORT  </t>
  </si>
  <si>
    <t xml:space="preserve">2K VALVE HSG/METRIC  </t>
  </si>
  <si>
    <t xml:space="preserve">2K MANIFOLD MT. V. HSG.  </t>
  </si>
  <si>
    <t xml:space="preserve">2K VALVE HSG/SHUTTLE  </t>
  </si>
  <si>
    <t xml:space="preserve">2K VALVE HSG/SPECIAL  </t>
  </si>
  <si>
    <t xml:space="preserve">2K VALVE HSG/SPEED SNR  </t>
  </si>
  <si>
    <t>2K BEARING HSG/2 HOLE FLANGE</t>
  </si>
  <si>
    <t xml:space="preserve">2K STD 4 HL SQ WH B HSG  </t>
  </si>
  <si>
    <t>2K STD SM FLG 2 HL B HSGG</t>
  </si>
  <si>
    <t xml:space="preserve">2K BRG HSG/4 HOLE SQUARE </t>
  </si>
  <si>
    <t xml:space="preserve">2K 4 HOLE MAGNITO B HSG  </t>
  </si>
  <si>
    <t>2K BEARING HSG/WHEEL-SLINGERSEAL</t>
  </si>
  <si>
    <t xml:space="preserve">HOUSING, BEARING  </t>
  </si>
  <si>
    <t xml:space="preserve">2K-2SP BALANCE RING  </t>
  </si>
  <si>
    <t xml:space="preserve">VLV HSG SUB ASSY 2K-2S  </t>
  </si>
  <si>
    <t xml:space="preserve">2K/2SPEED V.HSG. KIT  </t>
  </si>
  <si>
    <t xml:space="preserve">VALVE, HOUSING S/A  </t>
  </si>
  <si>
    <t xml:space="preserve">SHAFT SUB-ASSY 2K  </t>
  </si>
  <si>
    <t xml:space="preserve">2K SHAFT ASSY  </t>
  </si>
  <si>
    <t xml:space="preserve">2K SHAFT SUB-ASSY  </t>
  </si>
  <si>
    <t xml:space="preserve">2K GEROLER  </t>
  </si>
  <si>
    <t xml:space="preserve">2K GEROLER S/A  </t>
  </si>
  <si>
    <t xml:space="preserve"> *2K GER ASSY 24.0 CI****</t>
  </si>
  <si>
    <t xml:space="preserve">6K VALVE PLATE  </t>
  </si>
  <si>
    <t xml:space="preserve">PLATE, VALVE 2K-2S  </t>
  </si>
  <si>
    <t xml:space="preserve">H GEROTOR ASSY  </t>
  </si>
  <si>
    <t xml:space="preserve">GEROTOR SUB-ASSEMBLY  </t>
  </si>
  <si>
    <t xml:space="preserve">FLANGE, MTG A-001  </t>
  </si>
  <si>
    <t xml:space="preserve">FLANGE,SQUARE  </t>
  </si>
  <si>
    <t xml:space="preserve">FLANGE, SPECIAL  </t>
  </si>
  <si>
    <t xml:space="preserve">FLANGE A-005  </t>
  </si>
  <si>
    <t xml:space="preserve">FLANGE,SQUARE,METRIC  </t>
  </si>
  <si>
    <t xml:space="preserve">WEAR PLATE  </t>
  </si>
  <si>
    <t xml:space="preserve">2K-2SP CONTROL SPOOL  </t>
  </si>
  <si>
    <t xml:space="preserve">2K2S HP POPPET  </t>
  </si>
  <si>
    <t xml:space="preserve">10K-2SP CONTROL SPOOL  </t>
  </si>
  <si>
    <t xml:space="preserve">2K GEROLER/FREE RUNNING  </t>
  </si>
  <si>
    <t xml:space="preserve">J MOTOR SPOOL  </t>
  </si>
  <si>
    <t xml:space="preserve">2K WEAR PLATE  </t>
  </si>
  <si>
    <t xml:space="preserve">PLATE, VALVE 2K  </t>
  </si>
  <si>
    <t xml:space="preserve">15833-001 2H HSG 7/8-14  </t>
  </si>
  <si>
    <t>15833-002 H HOUSING 1/2 NPTF</t>
  </si>
  <si>
    <t xml:space="preserve">15833-006 H HSG G-1/2  </t>
  </si>
  <si>
    <t xml:space="preserve">2K GER ASSY  </t>
  </si>
  <si>
    <t xml:space="preserve">GEROLER ASSEMBLY  </t>
  </si>
  <si>
    <t>R/T MOTOR GER.  (66) ASSY 3.0 CID</t>
  </si>
  <si>
    <t xml:space="preserve">GEROLER S/A  </t>
  </si>
  <si>
    <t xml:space="preserve">R/T MOTOR GER. ASSY  </t>
  </si>
  <si>
    <t>R/T MOTOR GER. (77) ASSY 14.9 CID</t>
  </si>
  <si>
    <t>R/T MOTOR GER. (52) ASSY 22.6 CID</t>
  </si>
  <si>
    <t xml:space="preserve">SPACER PLATE  </t>
  </si>
  <si>
    <t>OUTPUT SHAFT SUBASSEMBLYY</t>
  </si>
  <si>
    <t>INPUT SHAFT BEARING SUBAASSEMBLY</t>
  </si>
  <si>
    <t xml:space="preserve">22894-007  RELIEF VALVE  </t>
  </si>
  <si>
    <t xml:space="preserve">22894-008  RELIEF VALVE  </t>
  </si>
  <si>
    <t xml:space="preserve">ANTI CAVITATION VALVE  </t>
  </si>
  <si>
    <t xml:space="preserve">SHUTTLE SPRING  </t>
  </si>
  <si>
    <t xml:space="preserve">DRIVE SPOOL  </t>
  </si>
  <si>
    <t xml:space="preserve">J MOTOR DRIVE (E.P.)  </t>
  </si>
  <si>
    <t xml:space="preserve">J MOTOR DRIVE  </t>
  </si>
  <si>
    <t xml:space="preserve">10K SPRING  </t>
  </si>
  <si>
    <t>2K-2SP SPRING/CONTROL SPOOL</t>
  </si>
  <si>
    <t xml:space="preserve">2K2S SPRING HP  </t>
  </si>
  <si>
    <t xml:space="preserve">SPRING, COMPRESSION  </t>
  </si>
  <si>
    <t xml:space="preserve">2K-2SP VALVE  </t>
  </si>
  <si>
    <t xml:space="preserve">SPACER OUTPUT SHAFT  </t>
  </si>
  <si>
    <t xml:space="preserve">CHECK DISK  HP-MTR  </t>
  </si>
  <si>
    <t>2K SWING MTR FRONT RETAINER</t>
  </si>
  <si>
    <t xml:space="preserve">SPACER PLT W/ORING GROOV </t>
  </si>
  <si>
    <t xml:space="preserve">4K BRG HSG/STANDARD  </t>
  </si>
  <si>
    <t xml:space="preserve">4K BRG HSG/WHEEL  </t>
  </si>
  <si>
    <t xml:space="preserve">4K FRT RET-OMT  </t>
  </si>
  <si>
    <t xml:space="preserve">4K FRT RET/STD  </t>
  </si>
  <si>
    <t xml:space="preserve">RETAINER, FRONT  </t>
  </si>
  <si>
    <t xml:space="preserve">FRT RET 4K/WHEEL-006  </t>
  </si>
  <si>
    <t xml:space="preserve">DRIVE CONTROL END  </t>
  </si>
  <si>
    <t xml:space="preserve">BRG &amp; SHAFT S/A /4K  </t>
  </si>
  <si>
    <t xml:space="preserve">BEARING &amp; SHAFT S/A -006 </t>
  </si>
  <si>
    <t xml:space="preserve">BRG &amp; SHAFT S/A -006  </t>
  </si>
  <si>
    <t>HOUSING, VALVE SUB-ASSEMBLY</t>
  </si>
  <si>
    <t>GEROTOR ASSEMBLY 1.00 IDreplaced by 6041349-003</t>
  </si>
  <si>
    <t>GEROTOR ASSEMBLY 1.00 IDS/B 6041349-005 (WGQ)</t>
  </si>
  <si>
    <t>GEROTOR ASSEMBLY .62 ID (REPLACED BY 6041347-005</t>
  </si>
  <si>
    <t>GEROTOR ASSEMBLY .62 ID S/B 6041347-007 (WGQ)</t>
  </si>
  <si>
    <t xml:space="preserve">SERVO SLEEVE S/A   54-76 </t>
  </si>
  <si>
    <t xml:space="preserve">END CAP  </t>
  </si>
  <si>
    <t xml:space="preserve">INPUT SHAFT SUBASSEMBLY  </t>
  </si>
  <si>
    <t xml:space="preserve">SL (CHG E)  </t>
  </si>
  <si>
    <t xml:space="preserve">NUT GASKET SUBASSEMBLY  </t>
  </si>
  <si>
    <t>SHAFT INPUT LD M1100 3/4 IN DIA KEYED S/A</t>
  </si>
  <si>
    <t xml:space="preserve">KEY (CHG B)  </t>
  </si>
  <si>
    <t>2K/10K-2SP BAL RING O RING</t>
  </si>
  <si>
    <t xml:space="preserve">10K O RING  </t>
  </si>
  <si>
    <t>O-RING 10K AND W MOTOR BRAKE</t>
  </si>
  <si>
    <t xml:space="preserve">10K O'RING  </t>
  </si>
  <si>
    <t xml:space="preserve">VIS 45 ORING  </t>
  </si>
  <si>
    <t xml:space="preserve">Seal  </t>
  </si>
  <si>
    <t>O'RING PLUG -SOC HD FLSTK</t>
  </si>
  <si>
    <t xml:space="preserve">S/A PLUG/O-RING  </t>
  </si>
  <si>
    <t xml:space="preserve">O-RING PLUG SUBASSEMBLY  </t>
  </si>
  <si>
    <t>O'RING PLUG -HEX HD -FLSTK</t>
  </si>
  <si>
    <t xml:space="preserve">O'RING PLUG -HEX HD  </t>
  </si>
  <si>
    <t xml:space="preserve">BODY ASSEMBLY  </t>
  </si>
  <si>
    <t xml:space="preserve">PUMP CONT SPOOL S/A  </t>
  </si>
  <si>
    <t xml:space="preserve">SL REPAIR KIT  </t>
  </si>
  <si>
    <t xml:space="preserve">BK PL (BQR)  </t>
  </si>
  <si>
    <t xml:space="preserve">FRONT PLATE S/A  </t>
  </si>
  <si>
    <t xml:space="preserve">BODY S/A  </t>
  </si>
  <si>
    <t xml:space="preserve">SEAL REPAIR KIT  </t>
  </si>
  <si>
    <t xml:space="preserve">CAP SCREWS - NOT SHOWN  </t>
  </si>
  <si>
    <t>ROLL PIN  ( PLAIN FINISH )</t>
  </si>
  <si>
    <t xml:space="preserve">BALL 2K 3/16"DIA  </t>
  </si>
  <si>
    <t xml:space="preserve">RELIEF VALVE ASSEMBLY  </t>
  </si>
  <si>
    <t xml:space="preserve">REL VALVE ASSY 3500 PSI  </t>
  </si>
  <si>
    <t xml:space="preserve">REL VALVE ASSY 4500 PSI  </t>
  </si>
  <si>
    <t xml:space="preserve">REL VALVE ASSY 4000 PSI  </t>
  </si>
  <si>
    <t xml:space="preserve">CROSSOVER RELIEF VL/0800 </t>
  </si>
  <si>
    <t>RACE - PUMP   6/7, 708/778</t>
  </si>
  <si>
    <t xml:space="preserve">ROLL AUX.- PUMP  </t>
  </si>
  <si>
    <t xml:space="preserve">DRIVE, POWER END  </t>
  </si>
  <si>
    <t xml:space="preserve">DRIVE   VIS 40  </t>
  </si>
  <si>
    <t xml:space="preserve">DRIVE  VIS 40  </t>
  </si>
  <si>
    <t>POWER LIMITER VALVE (IPE)</t>
  </si>
  <si>
    <t xml:space="preserve">VAL PL (RH)  </t>
  </si>
  <si>
    <t>PUMP DRIVE SHAFT S/A 54/64 (76 seal)</t>
  </si>
  <si>
    <t xml:space="preserve">EP CONTROL S/A (54/64)  </t>
  </si>
  <si>
    <t xml:space="preserve">EP CONTROL S/A 76  </t>
  </si>
  <si>
    <t xml:space="preserve">EP CONTROL S/A (33/46)  </t>
  </si>
  <si>
    <t xml:space="preserve">EP CONTROL S/A  </t>
  </si>
  <si>
    <t xml:space="preserve">YOKE-END  </t>
  </si>
  <si>
    <t xml:space="preserve">BRG, SWASHPLATE (PVE)  </t>
  </si>
  <si>
    <t>COMPENSATOR S/A (3001 lbf/in2  High psi)</t>
  </si>
  <si>
    <t>SCREW, CAP, SOCKET FLAT CSK (NYTEMP PATCH)</t>
  </si>
  <si>
    <t>ROTATING GROUP S/A (3.00in3)</t>
  </si>
  <si>
    <t>ROTATING GROUP S/A (2.50IN3</t>
  </si>
  <si>
    <t xml:space="preserve">SPACER PLATE S MTR (ST)  </t>
  </si>
  <si>
    <t>S2 HYDRAULIC REMOTE CONTROL S/A</t>
  </si>
  <si>
    <t>ROTATING GROUP S/A (3.80IN3)</t>
  </si>
  <si>
    <t>BEARING ASSY, SHAFT(FRONT)</t>
  </si>
  <si>
    <t>BEARING ASSY, SHAFT(REAR)                  [420]</t>
  </si>
  <si>
    <t>RELIEF VALVE S/A (PHAN) S2 ADJUSTABLE POR</t>
  </si>
  <si>
    <t xml:space="preserve">RELIEF VALVE ASSY, POR  </t>
  </si>
  <si>
    <t xml:space="preserve">GEROLER ASSY J MOTOR FR  </t>
  </si>
  <si>
    <t>SHAFT, DRIVE, INPUT 13 TOOTH, 1.62 EXT (DUAL SEA</t>
  </si>
  <si>
    <t xml:space="preserve">NUT, SLOTTED (NOT SHOWN) </t>
  </si>
  <si>
    <t xml:space="preserve">KEY, DRIVESHAFT  </t>
  </si>
  <si>
    <t>VALVE PLATE, LH, 49CC (420 CHANGE)</t>
  </si>
  <si>
    <t xml:space="preserve">VALVE PLATE, RH, 49CC  </t>
  </si>
  <si>
    <t xml:space="preserve">VALVE PLATE LH 3.80 420  </t>
  </si>
  <si>
    <t xml:space="preserve">VALVE PLATE RH (62cc)  </t>
  </si>
  <si>
    <t xml:space="preserve">SERIES 1 EP CONTROL S/A  </t>
  </si>
  <si>
    <t xml:space="preserve">END CAP S012  </t>
  </si>
  <si>
    <t>SHAFT, DRIVE, INPUT 15T (#8, 420)</t>
  </si>
  <si>
    <t>SHAFT, DRIVE #5 420</t>
  </si>
  <si>
    <t xml:space="preserve">SHAFT DRIVE (#02 420)  </t>
  </si>
  <si>
    <t>SHAFT, DRIVE (#1, 420)</t>
  </si>
  <si>
    <t>CRUSH RING  TEMPER# 203073.1 (420)</t>
  </si>
  <si>
    <t>DR SHF INPUT 15 TOOTH 420 TANDEM</t>
  </si>
  <si>
    <t>SHAFT, DRIVE, INPUT 15T TANDEM</t>
  </si>
  <si>
    <t>DR SHF INPUT 15 TOOTH TANDEM             [420]</t>
  </si>
  <si>
    <t>DR SHF INPUT 13 TOOTH TANDEMNDEM</t>
  </si>
  <si>
    <t xml:space="preserve">KEY, ROUND  </t>
  </si>
  <si>
    <t xml:space="preserve">VALVE PL, L.H.41CC [420] </t>
  </si>
  <si>
    <t>VALVE PLATE, RH, 41CC 420</t>
  </si>
  <si>
    <t xml:space="preserve">FRONT RETAINER 10K  </t>
  </si>
  <si>
    <t>SHAFT SEAL, HIGH PRESSURE FC (420)</t>
  </si>
  <si>
    <t xml:space="preserve">76 PUMP DRIVE SHAFT S/A  </t>
  </si>
  <si>
    <t xml:space="preserve">2K O-RING  </t>
  </si>
  <si>
    <t>Dust Seal replaces 844-000</t>
  </si>
  <si>
    <t xml:space="preserve">EP SERVO CONTROL S/A  </t>
  </si>
  <si>
    <t xml:space="preserve">PV END COVER 3K 39  </t>
  </si>
  <si>
    <t>END COVER HD SERIES 3 54PUMP C61 (50517-998)</t>
  </si>
  <si>
    <t xml:space="preserve">DRV-STD/MET  </t>
  </si>
  <si>
    <t xml:space="preserve">SEAL KIT SERVICE ORBS  </t>
  </si>
  <si>
    <t xml:space="preserve">BRG B1416  </t>
  </si>
  <si>
    <t xml:space="preserve">NEEDLE BEARING THRUST  </t>
  </si>
  <si>
    <t>BALANCE PLATE (OUTER)  VIS30</t>
  </si>
  <si>
    <t xml:space="preserve">GEROLER ASM  VIS40  </t>
  </si>
  <si>
    <t xml:space="preserve">GEROLER ASSM  VIS40  </t>
  </si>
  <si>
    <t xml:space="preserve">GEROLER ASM  VIS30  </t>
  </si>
  <si>
    <t xml:space="preserve">END CAP  VIS40  </t>
  </si>
  <si>
    <t xml:space="preserve">SPACER PLATE  VIS40 2 SD </t>
  </si>
  <si>
    <t xml:space="preserve">VALVE PLATE VIS40 2 SD  </t>
  </si>
  <si>
    <t xml:space="preserve">ENDCAP  VIS40 2 SD  </t>
  </si>
  <si>
    <t xml:space="preserve">V45 II/MASKED O.B.PLATE  </t>
  </si>
  <si>
    <t xml:space="preserve">VALVE PLATE VIS-45  </t>
  </si>
  <si>
    <t>VALVE PLATE, L.H. (4.88 CID) (420)</t>
  </si>
  <si>
    <t xml:space="preserve">GREASE SEAL, DELTA  </t>
  </si>
  <si>
    <t xml:space="preserve">DRIVE SHAFT SPLINED  </t>
  </si>
  <si>
    <t xml:space="preserve">SHAFT MACHINING  VIS40  </t>
  </si>
  <si>
    <t xml:space="preserve">VALVE  HP30  </t>
  </si>
  <si>
    <t xml:space="preserve">BRAKE ASM  VIS40  </t>
  </si>
  <si>
    <t>DOWEL PIN,  .835X.417 LONG</t>
  </si>
  <si>
    <t xml:space="preserve">GASKET, CONTROL HOUSING  </t>
  </si>
  <si>
    <t xml:space="preserve">OUTER GREASE SEAL VIS 40 </t>
  </si>
  <si>
    <t xml:space="preserve">HP30 Spool Housing  </t>
  </si>
  <si>
    <t xml:space="preserve">VALVE PLATE HP 30  </t>
  </si>
  <si>
    <t xml:space="preserve">BACKUP RING/HP30  </t>
  </si>
  <si>
    <t xml:space="preserve">Speed Sensor  </t>
  </si>
  <si>
    <t xml:space="preserve">RETAINER, FRONT HP30  </t>
  </si>
  <si>
    <t xml:space="preserve">GEROLER - HP30  </t>
  </si>
  <si>
    <t xml:space="preserve">GEROLER SUB-ASSEMBLY  HP </t>
  </si>
  <si>
    <t xml:space="preserve">SELECTOR PLATE S/A  HP30 </t>
  </si>
  <si>
    <t>INNER BALANCE RING S/A HP30</t>
  </si>
  <si>
    <t>OUTER BALANCE RING S/A HP30</t>
  </si>
  <si>
    <t xml:space="preserve">HP30 BEARING HOUSING  </t>
  </si>
  <si>
    <t>SHAFT SEAL, 2K HIGH PRESSURE</t>
  </si>
  <si>
    <t xml:space="preserve">HP30 MAIN DRIVE  </t>
  </si>
  <si>
    <t xml:space="preserve">MAIN DRIVE  </t>
  </si>
  <si>
    <t xml:space="preserve">bearing housings  </t>
  </si>
  <si>
    <t xml:space="preserve">SEAT,BALL SUB-ASSY HP50  </t>
  </si>
  <si>
    <t xml:space="preserve">PRESSURE-FLOW  </t>
  </si>
  <si>
    <t xml:space="preserve">ENDCOVER ASSEMBLY  </t>
  </si>
  <si>
    <t xml:space="preserve">SHAFT SUB ASSY/HP30  </t>
  </si>
  <si>
    <t xml:space="preserve">SHAFT S/A HP30  </t>
  </si>
  <si>
    <t xml:space="preserve">RETAINER, FRONT VIS  </t>
  </si>
  <si>
    <t xml:space="preserve">SHAFT SEAL HP  </t>
  </si>
  <si>
    <t xml:space="preserve">VIS40 SHAFT S/A  </t>
  </si>
  <si>
    <t xml:space="preserve">VIS 40 SHAFT S/A  </t>
  </si>
  <si>
    <t xml:space="preserve">Balance Plate, HP30  </t>
  </si>
  <si>
    <t xml:space="preserve">SHAFT SEAL HIGH PRESSURE </t>
  </si>
  <si>
    <t xml:space="preserve">DESTROKE VALVE ASSEMBLY  </t>
  </si>
  <si>
    <t xml:space="preserve">DRIVE VIS-45  </t>
  </si>
  <si>
    <t xml:space="preserve">VALVE HOUSING HP30  </t>
  </si>
  <si>
    <t>BRG. PLT. 64FC (50365-999)</t>
  </si>
  <si>
    <t xml:space="preserve">SPRING, CENTERING  </t>
  </si>
  <si>
    <t>SEAL KIT, STD BUNA-N S-MOTOR -007</t>
  </si>
  <si>
    <t>SEAL KIT PEA 10729 12/822</t>
  </si>
  <si>
    <t xml:space="preserve">SEAL KIT PEA 10729  </t>
  </si>
  <si>
    <t xml:space="preserve">WAVE SPRING  </t>
  </si>
  <si>
    <t xml:space="preserve">HP30 BAL PLATE S/A  </t>
  </si>
  <si>
    <t>PHOSPHATE PISTON CONTROL (OLD 5993996-001)</t>
  </si>
  <si>
    <t>GEROTOR INNER GEAR (79004-611)</t>
  </si>
  <si>
    <t xml:space="preserve">GEROTOR INNER RING  </t>
  </si>
  <si>
    <t xml:space="preserve">GEROTOR INNER GEAR  </t>
  </si>
  <si>
    <t>GEROTOR INNER GEAR REPLACES 72400-640</t>
  </si>
  <si>
    <t>GEROTOR INNER GEAR (79004-644)</t>
  </si>
  <si>
    <t>GEROTOR OUTER RING SEE SERV KIT</t>
  </si>
  <si>
    <t xml:space="preserve">GEROTOR OUTER RING  </t>
  </si>
  <si>
    <t xml:space="preserve">PINTLE S/A  CCW  </t>
  </si>
  <si>
    <t>VALVE PLATE, LH, 620, 98CC</t>
  </si>
  <si>
    <t>SPEED SENSOR WEATHERPAC CONNECTOR</t>
  </si>
  <si>
    <t>SPEED SENSOR M12 CONNECTOR</t>
  </si>
  <si>
    <t xml:space="preserve">620 COMPENSATOR S/A  </t>
  </si>
  <si>
    <t xml:space="preserve">OUTPUT SHAFT/DELTA  </t>
  </si>
  <si>
    <t>HP 50/30 GASKET Replace 5990046-001</t>
  </si>
  <si>
    <t xml:space="preserve">DIGITAL HST SENSOR  </t>
  </si>
  <si>
    <t xml:space="preserve">FRONT RETAINER VIS 45  </t>
  </si>
  <si>
    <t>VALVE PLATE (MACH) 220 28CC</t>
  </si>
  <si>
    <t xml:space="preserve">VALVE PLATE 220  </t>
  </si>
  <si>
    <t xml:space="preserve">SEAL GUARD-EXTREME DUTY  </t>
  </si>
  <si>
    <t xml:space="preserve">SHAFT SEAL, VIS30  </t>
  </si>
  <si>
    <t>S2 ROTATING GROUP S/A 46</t>
  </si>
  <si>
    <t>CHARGE PUMP S/A, P/S CW 1.28</t>
  </si>
  <si>
    <t xml:space="preserve">SOLENOID TUBE S/A  </t>
  </si>
  <si>
    <t xml:space="preserve">PRESS AND FLOW COMP S/A  </t>
  </si>
  <si>
    <t xml:space="preserve">GEROTOR ASSEMBLY  </t>
  </si>
  <si>
    <t>GEROTOR ASSEMBLY 21.0 CM3/R (1.28 IN3/R)</t>
  </si>
  <si>
    <t>GEROTOR ASSEMBLY 27.9 CM3/R (1.70 IN3/R)</t>
  </si>
  <si>
    <t>SPARES KIT PLUG 16103-302</t>
  </si>
  <si>
    <t>SHAFT SEAL KIT (9057-001 6 each)</t>
  </si>
  <si>
    <t xml:space="preserve">HSG KIT (-001)  </t>
  </si>
  <si>
    <t xml:space="preserve">VITON SEAL KIT  </t>
  </si>
  <si>
    <t xml:space="preserve">SEAL KIT    A/H MOTOR  </t>
  </si>
  <si>
    <t xml:space="preserve">COMB. SEAL KIT  </t>
  </si>
  <si>
    <t xml:space="preserve">2 BOLT FLG. KIT - J MTR  </t>
  </si>
  <si>
    <t xml:space="preserve">SEAL KIT (BUNA)  </t>
  </si>
  <si>
    <t xml:space="preserve">VITON SHAFT SEAL KIT  </t>
  </si>
  <si>
    <t xml:space="preserve">SHAMBAN KIT #C-206393  </t>
  </si>
  <si>
    <t xml:space="preserve">FLG. - SHAMBAN SEAL KIT  </t>
  </si>
  <si>
    <t xml:space="preserve">SEAL KIT R-002/S-011  </t>
  </si>
  <si>
    <t xml:space="preserve">HIGH PRESSURE SEAL KIT  </t>
  </si>
  <si>
    <t xml:space="preserve">SEAL KIT WITH SEAL GUARD </t>
  </si>
  <si>
    <t>SEAL KIT W MOTOR W/BRAKE KIT</t>
  </si>
  <si>
    <t xml:space="preserve">SEAL KIT HIGH PSI (BUNA) </t>
  </si>
  <si>
    <t>SEAL KIT HIGH PSI T AND H MOTOR</t>
  </si>
  <si>
    <t xml:space="preserve">REAR SEAL KIT 4K  </t>
  </si>
  <si>
    <t xml:space="preserve">SEAL KIT 4K  </t>
  </si>
  <si>
    <t>SHAFT SEAL KIT 6K -002, -003, -004</t>
  </si>
  <si>
    <t>REAR SEAL KIT 6K -002, -003, -004</t>
  </si>
  <si>
    <t xml:space="preserve">SEAL KIT BEARINGLESS 2K  </t>
  </si>
  <si>
    <t xml:space="preserve">COMPLETE SEAL KIT 4K  </t>
  </si>
  <si>
    <t>COMPLETE SEAL KIT 4K BRGLS</t>
  </si>
  <si>
    <t xml:space="preserve">SEAL KIT SHAFT 4000 4K  </t>
  </si>
  <si>
    <t xml:space="preserve">SHAFT SEAL KIT 6K  </t>
  </si>
  <si>
    <t xml:space="preserve">REAR SEAL KIT 6K  </t>
  </si>
  <si>
    <t xml:space="preserve">COMPLETE SEAL KIT 6K  </t>
  </si>
  <si>
    <t>COMPLETE SEAL KIT 6K VITON</t>
  </si>
  <si>
    <t xml:space="preserve">VITON SEAL KIT 4K  </t>
  </si>
  <si>
    <t xml:space="preserve">VITON SEAL KIT 6K  </t>
  </si>
  <si>
    <t xml:space="preserve">SEAL KIT 2K  </t>
  </si>
  <si>
    <t xml:space="preserve">SEAL KIT MOTOR 2K  </t>
  </si>
  <si>
    <t xml:space="preserve">VITON SEAL KIT 2K  </t>
  </si>
  <si>
    <t xml:space="preserve">SEAL KIT 2K2S BGLS MTR  </t>
  </si>
  <si>
    <t xml:space="preserve">SEAL KIT 2K2S STD MTR  </t>
  </si>
  <si>
    <t xml:space="preserve">SEAL KIT/2K-2S W/SHTLE  </t>
  </si>
  <si>
    <t xml:space="preserve">SEAL KIT 1441003  </t>
  </si>
  <si>
    <t xml:space="preserve">SEAL KIT SHFT 4K-006  </t>
  </si>
  <si>
    <t xml:space="preserve">VITON SEAL KIT 4K-006  </t>
  </si>
  <si>
    <t>COMPLETE SEAL KIT 6K VITON SHAFT SEAL</t>
  </si>
  <si>
    <t xml:space="preserve">SEAL KIT 2K SLINGER  </t>
  </si>
  <si>
    <t xml:space="preserve">SEAL KIT 4K SLINGER  </t>
  </si>
  <si>
    <t xml:space="preserve">SEAL KIT 6K SLINGER  </t>
  </si>
  <si>
    <t xml:space="preserve">SEAL KIT 6K W/SEAL GUARD </t>
  </si>
  <si>
    <t xml:space="preserve">SEAL KIT/VIS 45  </t>
  </si>
  <si>
    <t xml:space="preserve">SEAL KIT/VIS 30  </t>
  </si>
  <si>
    <t>VALVE, COUNTERBALANCE #02-370372</t>
  </si>
  <si>
    <t xml:space="preserve">SEAL REPAIR KIT, SHAFT  </t>
  </si>
  <si>
    <t>SEAL REPAIR KIT, COMPLETE</t>
  </si>
  <si>
    <t xml:space="preserve">SEAL KIT VIS 30  </t>
  </si>
  <si>
    <t xml:space="preserve">SEAL KIT VIS 45 2 SP  </t>
  </si>
  <si>
    <t xml:space="preserve">FRONT SEAL KIT  VIS 45  </t>
  </si>
  <si>
    <t>2K SEAL KIT/HIGH PRESSURRE SEAL</t>
  </si>
  <si>
    <t xml:space="preserve">SEAL KIT/4K COMPACT  </t>
  </si>
  <si>
    <t>4K COMPACT/COMPLETE SEAL KIT</t>
  </si>
  <si>
    <t xml:space="preserve">SEAL KIT/RELIEF VALVE  </t>
  </si>
  <si>
    <t xml:space="preserve">COMPLETE SEAL KIT  VIS40 </t>
  </si>
  <si>
    <t xml:space="preserve">COMPLETE SEAL KIT  VIS  </t>
  </si>
  <si>
    <t xml:space="preserve">10K DRIVE  </t>
  </si>
  <si>
    <t xml:space="preserve">10K VALVE DRIVE  </t>
  </si>
  <si>
    <t xml:space="preserve">10K BEARING SPACER  </t>
  </si>
  <si>
    <t xml:space="preserve">KIT-HSG/BEARING ASSY10K  </t>
  </si>
  <si>
    <t xml:space="preserve">BRG/HOUSING KIT 10K  </t>
  </si>
  <si>
    <t xml:space="preserve">INPUT SHAFT  </t>
  </si>
  <si>
    <t xml:space="preserve">SHAFT - DUMP VALVE  </t>
  </si>
  <si>
    <t xml:space="preserve">VALVE HSG-SUB ASSY 10K  </t>
  </si>
  <si>
    <t>SEAL KIT 10K2SP REAR SIDE</t>
  </si>
  <si>
    <t xml:space="preserve">SEAL KIT 10K/PEEK/FACE  </t>
  </si>
  <si>
    <t>MC2195AJ16AG0200010000000ABAAB</t>
  </si>
  <si>
    <t xml:space="preserve">NUT 10K  </t>
  </si>
  <si>
    <t>THRUST NEEDLE BEARING KIT</t>
  </si>
  <si>
    <t xml:space="preserve">REAR SEAL KIT 10K  </t>
  </si>
  <si>
    <t>SEAL KIT 10K SHAFT SEAL KIT</t>
  </si>
  <si>
    <t xml:space="preserve">W/INTEGRAL COLUMN  </t>
  </si>
  <si>
    <t xml:space="preserve">SL.KIT-LESS COL.  </t>
  </si>
  <si>
    <t xml:space="preserve">KIT-W/TEFLON SHAFT SEAL  </t>
  </si>
  <si>
    <t xml:space="preserve">CENTERING SPRING KIT  </t>
  </si>
  <si>
    <t xml:space="preserve">SPG.KIT-STD.&amp;LOW TORQ.  </t>
  </si>
  <si>
    <t>SPG.LO NEUTRAL TORQ (STD)</t>
  </si>
  <si>
    <t xml:space="preserve">1 PC-5776/14488  </t>
  </si>
  <si>
    <t xml:space="preserve">1 PC-W/9086-2  </t>
  </si>
  <si>
    <t xml:space="preserve">SL.KIT-STD.TORQ  </t>
  </si>
  <si>
    <t xml:space="preserve">LOW-TQ-CONV-KIT  </t>
  </si>
  <si>
    <t xml:space="preserve">SEAL KIT-LOW TORQ  </t>
  </si>
  <si>
    <t xml:space="preserve">CAPSCREW KIT  </t>
  </si>
  <si>
    <t>TORX SOCKET{E10 SZ.} TOOL CRIB P/N# 08-550-03937</t>
  </si>
  <si>
    <t>SEAL KIT TORQUE GENERATOR (QUAD SEAL)</t>
  </si>
  <si>
    <t xml:space="preserve">FLEX 4 SEAL KIT  </t>
  </si>
  <si>
    <t xml:space="preserve">GEROTOR KIT SERIES 20  </t>
  </si>
  <si>
    <t xml:space="preserve">10K VALVE  </t>
  </si>
  <si>
    <t xml:space="preserve">4K BACKUP RING  </t>
  </si>
  <si>
    <t xml:space="preserve">6K OUTER FACE SEAL  </t>
  </si>
  <si>
    <t xml:space="preserve">6K INNER FACE SEAL  </t>
  </si>
  <si>
    <t xml:space="preserve">SPRING - MOTOR ROTOR  </t>
  </si>
  <si>
    <t xml:space="preserve">RACE RA47204  </t>
  </si>
  <si>
    <t xml:space="preserve">DR SHF SPL  </t>
  </si>
  <si>
    <t xml:space="preserve">SL CVR  </t>
  </si>
  <si>
    <t xml:space="preserve">TRN CVR  </t>
  </si>
  <si>
    <t xml:space="preserve">O RING COVER  </t>
  </si>
  <si>
    <t xml:space="preserve">RLR Q8304  </t>
  </si>
  <si>
    <t xml:space="preserve">PN  </t>
  </si>
  <si>
    <t xml:space="preserve">COUPLER  </t>
  </si>
  <si>
    <t xml:space="preserve">GEROTOR &amp; CPLR ASY  </t>
  </si>
  <si>
    <t xml:space="preserve">CAM PL  </t>
  </si>
  <si>
    <t xml:space="preserve">CPLR  </t>
  </si>
  <si>
    <t xml:space="preserve">Coupler  </t>
  </si>
  <si>
    <t xml:space="preserve">ROTATING KIT ASSEMBLY  </t>
  </si>
  <si>
    <t xml:space="preserve">PISTON BLOCK ASSY  </t>
  </si>
  <si>
    <t xml:space="preserve">GST  </t>
  </si>
  <si>
    <t xml:space="preserve">CHARGE RELIEF HOUSING  </t>
  </si>
  <si>
    <t xml:space="preserve">VAL PL  </t>
  </si>
  <si>
    <t xml:space="preserve">BK PL ASY  </t>
  </si>
  <si>
    <t xml:space="preserve">PST  </t>
  </si>
  <si>
    <t xml:space="preserve">COLLAR  </t>
  </si>
  <si>
    <t xml:space="preserve">DRIVE SHAFT - KEYED  </t>
  </si>
  <si>
    <t xml:space="preserve">DRIVE SHAFT - SPLINED  </t>
  </si>
  <si>
    <t xml:space="preserve">VALVE-BODY          6-10 </t>
  </si>
  <si>
    <t xml:space="preserve">ADPT ASY  </t>
  </si>
  <si>
    <t>ADPT ASY    REPLS70142-380</t>
  </si>
  <si>
    <t xml:space="preserve">COVER PLATE SAE A  </t>
  </si>
  <si>
    <t xml:space="preserve">KIT-SEAL  </t>
  </si>
  <si>
    <t xml:space="preserve">COVERPLATE KIT  </t>
  </si>
  <si>
    <t xml:space="preserve">CAM PL INS  </t>
  </si>
  <si>
    <t xml:space="preserve">COVER PLATE  </t>
  </si>
  <si>
    <t xml:space="preserve">SHIM KIT  </t>
  </si>
  <si>
    <t xml:space="preserve">SHIM RELIEF VLV-FLSTK  </t>
  </si>
  <si>
    <t xml:space="preserve">SHIM-RELIEF VALVE-FLSTK  </t>
  </si>
  <si>
    <t xml:space="preserve">ROTATING KIT ASY  </t>
  </si>
  <si>
    <t xml:space="preserve">O RG  </t>
  </si>
  <si>
    <t xml:space="preserve">MAJ SL REP KIT  </t>
  </si>
  <si>
    <t xml:space="preserve">REP KIT  </t>
  </si>
  <si>
    <t xml:space="preserve">Cover Plate Subassy  </t>
  </si>
  <si>
    <t xml:space="preserve">CRUSH RING  </t>
  </si>
  <si>
    <t xml:space="preserve">Camplate Subassy  </t>
  </si>
  <si>
    <t>REPAIR KIT BUNA-N (VITON 70360-903)</t>
  </si>
  <si>
    <t>TRUNNION BEARING SHIM KIT</t>
  </si>
  <si>
    <t xml:space="preserve">ROT KIT ASY, 3"  </t>
  </si>
  <si>
    <t xml:space="preserve">VAL PL (L.H.)  </t>
  </si>
  <si>
    <t xml:space="preserve">ROTATING KIT ASSY  </t>
  </si>
  <si>
    <t xml:space="preserve">PISTON ASSEMBLY  </t>
  </si>
  <si>
    <t xml:space="preserve">RACE RA50935  </t>
  </si>
  <si>
    <t xml:space="preserve">DRIVE SHAFT SPLINE  </t>
  </si>
  <si>
    <t xml:space="preserve">HSNG ASY  </t>
  </si>
  <si>
    <t xml:space="preserve">ROTATING KIT  </t>
  </si>
  <si>
    <t xml:space="preserve">ROT KIT ASY  </t>
  </si>
  <si>
    <t xml:space="preserve">TOW VAL ASY  </t>
  </si>
  <si>
    <t xml:space="preserve">CPLR ( CHG F)  </t>
  </si>
  <si>
    <t xml:space="preserve">41 tooth CPLR  </t>
  </si>
  <si>
    <t>COUPLER KIT - SAE B 13T SPLINE</t>
  </si>
  <si>
    <t xml:space="preserve">BRG B1812  </t>
  </si>
  <si>
    <t xml:space="preserve">COV  </t>
  </si>
  <si>
    <t xml:space="preserve">PIVOT  </t>
  </si>
  <si>
    <t xml:space="preserve">BRG B1212  </t>
  </si>
  <si>
    <t xml:space="preserve">CLR  </t>
  </si>
  <si>
    <t xml:space="preserve">PIN.  </t>
  </si>
  <si>
    <t xml:space="preserve">BEARING B1412  </t>
  </si>
  <si>
    <t xml:space="preserve">BACKPLATE ASSEMBLY  </t>
  </si>
  <si>
    <t xml:space="preserve">CAP, ADJUSTMENT  </t>
  </si>
  <si>
    <t xml:space="preserve">CVR  </t>
  </si>
  <si>
    <t xml:space="preserve">COMP ASY  </t>
  </si>
  <si>
    <t xml:space="preserve">COMP ASY  RH  </t>
  </si>
  <si>
    <t xml:space="preserve">CPLR ( CHG C)  </t>
  </si>
  <si>
    <t xml:space="preserve">SL KIT  </t>
  </si>
  <si>
    <t xml:space="preserve">DR SHF THD  </t>
  </si>
  <si>
    <t>ADPT ASY                    REPLS70440-335</t>
  </si>
  <si>
    <t>DR SHF SPL M</t>
  </si>
  <si>
    <t xml:space="preserve">LOADING PIN KIT  </t>
  </si>
  <si>
    <t xml:space="preserve">BACK PLATE ASSEMBLY  </t>
  </si>
  <si>
    <t xml:space="preserve">TRUNNION RACE  </t>
  </si>
  <si>
    <t xml:space="preserve">BRG DC54197  </t>
  </si>
  <si>
    <t xml:space="preserve">TRUNNION COVER  </t>
  </si>
  <si>
    <t xml:space="preserve">CTL PST  </t>
  </si>
  <si>
    <t xml:space="preserve">COMP ASSEMBLY  </t>
  </si>
  <si>
    <t xml:space="preserve">COMPENSATOR S/A LH  </t>
  </si>
  <si>
    <t>0.5L KIT KG</t>
  </si>
  <si>
    <t xml:space="preserve">SPRING - LOW PRESSURE  </t>
  </si>
  <si>
    <t xml:space="preserve">SPRING - HIGH PRESSURE  </t>
  </si>
  <si>
    <t>CONTROL HSNG (0 FEATURES)</t>
  </si>
  <si>
    <t>CONTROL HSNG  (A FEATURE )</t>
  </si>
  <si>
    <t xml:space="preserve">CHARGE PUMP ADAPTER S/A  </t>
  </si>
  <si>
    <t>ADPT ASY    REPLS72323-010</t>
  </si>
  <si>
    <t>CHARGE PUMP ADAPTER S/A (RH ROTATION)</t>
  </si>
  <si>
    <t xml:space="preserve">ADPT ASSEMBLY  </t>
  </si>
  <si>
    <t xml:space="preserve">ADPT ASSY  </t>
  </si>
  <si>
    <t xml:space="preserve">HOUSINGS (ABC PORTS)  </t>
  </si>
  <si>
    <t xml:space="preserve">FDBKLK  </t>
  </si>
  <si>
    <t xml:space="preserve">INPUTSFT  </t>
  </si>
  <si>
    <t xml:space="preserve">PG  </t>
  </si>
  <si>
    <t xml:space="preserve">BELL CRK  </t>
  </si>
  <si>
    <t xml:space="preserve">DSTKVLVA  </t>
  </si>
  <si>
    <t xml:space="preserve">VALVE SPOOL  </t>
  </si>
  <si>
    <t xml:space="preserve">SEAL S/A  </t>
  </si>
  <si>
    <t xml:space="preserve">F0LLOWER  </t>
  </si>
  <si>
    <t xml:space="preserve">COVER PL  </t>
  </si>
  <si>
    <t xml:space="preserve">GASKET CVR PL  </t>
  </si>
  <si>
    <t xml:space="preserve">BSH 18DU6  </t>
  </si>
  <si>
    <t xml:space="preserve">S RG (CHG B)  </t>
  </si>
  <si>
    <t xml:space="preserve">CPLR (FO#1)  </t>
  </si>
  <si>
    <t xml:space="preserve">MOULDED O-RING  </t>
  </si>
  <si>
    <t xml:space="preserve">PLUG ASSEMBLY  </t>
  </si>
  <si>
    <t xml:space="preserve">Cam Plate Assy (Servo)  </t>
  </si>
  <si>
    <t xml:space="preserve">NEUTRAL LOCKOUT ASSY  </t>
  </si>
  <si>
    <t xml:space="preserve">SPOOL ASSY  </t>
  </si>
  <si>
    <t>FEED BACK LINK (MOQ 3000PCS)</t>
  </si>
  <si>
    <t xml:space="preserve">MTG SEAL KIT  </t>
  </si>
  <si>
    <t>SEAL KIT FOR 72400 SERVOO PUMPS</t>
  </si>
  <si>
    <t xml:space="preserve">SEAL KIT FOR SERVO PUMP  </t>
  </si>
  <si>
    <t xml:space="preserve">HYD REMOTE CTL KIT  </t>
  </si>
  <si>
    <t>ADJUSTABLE SERVO STOP KIT</t>
  </si>
  <si>
    <t xml:space="preserve">SL  </t>
  </si>
  <si>
    <t xml:space="preserve">SERVO CONTROL ASSEMBLY  </t>
  </si>
  <si>
    <t xml:space="preserve">HI-GAIN SERVO CONTROL  </t>
  </si>
  <si>
    <t xml:space="preserve">SERVO CONTROL -MANUAL  </t>
  </si>
  <si>
    <t xml:space="preserve">SERVO CONTROL ASSY  </t>
  </si>
  <si>
    <t xml:space="preserve">DR SHF KEY  </t>
  </si>
  <si>
    <t>DR SHF THD ==&gt;PARTS MUST BE DIPPED BEFORE CARB.</t>
  </si>
  <si>
    <t xml:space="preserve">HOUSING ASSY  </t>
  </si>
  <si>
    <t xml:space="preserve">SHAFT,ST,1XHOLE  </t>
  </si>
  <si>
    <t xml:space="preserve">SHAFT A-008 RED  </t>
  </si>
  <si>
    <t xml:space="preserve">SHAFT, SPLINE 13 T  </t>
  </si>
  <si>
    <t xml:space="preserve">SHAFT, TPRD, STD KY  </t>
  </si>
  <si>
    <t xml:space="preserve">SHAFT, ST, STD KEY  </t>
  </si>
  <si>
    <t xml:space="preserve">SHAFT,ST,STD KY  </t>
  </si>
  <si>
    <t>BACK UP WASHER WHEEL MTRR</t>
  </si>
  <si>
    <t xml:space="preserve">2K SPRING  </t>
  </si>
  <si>
    <t xml:space="preserve">RACE TRC1828  </t>
  </si>
  <si>
    <t>VAL PL    WAS XDB5146-001</t>
  </si>
  <si>
    <t xml:space="preserve">ADPT SEAL ASSEMBLY  </t>
  </si>
  <si>
    <t xml:space="preserve">PST RACE ASY  </t>
  </si>
  <si>
    <t xml:space="preserve">BRG HJ162416  320/box  </t>
  </si>
  <si>
    <t xml:space="preserve">SPIDER  </t>
  </si>
  <si>
    <t xml:space="preserve">PILOT  </t>
  </si>
  <si>
    <t xml:space="preserve">CONN PL  </t>
  </si>
  <si>
    <t xml:space="preserve">THRUST BEARING RACE  </t>
  </si>
  <si>
    <t xml:space="preserve">HSNG ASSY  </t>
  </si>
  <si>
    <t xml:space="preserve">BK PL ASSY  </t>
  </si>
  <si>
    <t xml:space="preserve">THRUST BEARING  </t>
  </si>
  <si>
    <t xml:space="preserve">BRG B1612 ( B)  </t>
  </si>
  <si>
    <t xml:space="preserve">BRG BH2220D  </t>
  </si>
  <si>
    <t xml:space="preserve">STEP-UP BOX (DIST)  </t>
  </si>
  <si>
    <t>STEP-UP BOX (DIST)    WAS -AA</t>
  </si>
  <si>
    <t xml:space="preserve">MT KIT  </t>
  </si>
  <si>
    <t>ECM DRUM MASTER 24V RS232 120 RATIO</t>
  </si>
  <si>
    <t xml:space="preserve">END LOWER SPLINE  </t>
  </si>
  <si>
    <t xml:space="preserve">CAP, TUBE  </t>
  </si>
  <si>
    <t xml:space="preserve">H GEROTOR ASSY 9.7 CID  </t>
  </si>
  <si>
    <t xml:space="preserve">H GEROTOR ASSY 4.5 CID  </t>
  </si>
  <si>
    <t xml:space="preserve">RACE  </t>
  </si>
  <si>
    <t xml:space="preserve">CHECK BALL PLUG  </t>
  </si>
  <si>
    <t xml:space="preserve">VALVE DRIVE 2K  </t>
  </si>
  <si>
    <t xml:space="preserve">4K GEROLER  </t>
  </si>
  <si>
    <t xml:space="preserve">4K GEROLERSY 4K  </t>
  </si>
  <si>
    <t xml:space="preserve">GEROLER ASSY 4K  </t>
  </si>
  <si>
    <t xml:space="preserve">4K 30 CU. IN. GEROLER  </t>
  </si>
  <si>
    <t xml:space="preserve">10K SHAFT  </t>
  </si>
  <si>
    <t xml:space="preserve">MOUNTING FLANGE 6K  </t>
  </si>
  <si>
    <t xml:space="preserve">VALVE 6K  </t>
  </si>
  <si>
    <t xml:space="preserve">VALVE MACHINING 4K  </t>
  </si>
  <si>
    <t xml:space="preserve">VALVE HSG SUB ASSY 6K  </t>
  </si>
  <si>
    <t xml:space="preserve">4K VALVE PLATE  </t>
  </si>
  <si>
    <t xml:space="preserve">GEROLER ASSY 6K  </t>
  </si>
  <si>
    <t xml:space="preserve">6K GEROLER  </t>
  </si>
  <si>
    <t xml:space="preserve">GEROLER ASM 6K  </t>
  </si>
  <si>
    <t xml:space="preserve">6K VALVE DRIVE  </t>
  </si>
  <si>
    <t xml:space="preserve">4K VALVE DRIVE  </t>
  </si>
  <si>
    <t xml:space="preserve">PISTON SHUTTLE  </t>
  </si>
  <si>
    <t xml:space="preserve">SHUTTLE POPPET  </t>
  </si>
  <si>
    <t>GEROLER ASSY 10K (20CI.))</t>
  </si>
  <si>
    <t xml:space="preserve">10K GEROLER  </t>
  </si>
  <si>
    <t xml:space="preserve">GEROTOR-5.86 - 115  </t>
  </si>
  <si>
    <t xml:space="preserve">4 40 52 (MAX 60) GEROTER </t>
  </si>
  <si>
    <t xml:space="preserve">10K FRONT RETAINER  </t>
  </si>
  <si>
    <t xml:space="preserve">SHUTTLE SLEEVE DASH POT  </t>
  </si>
  <si>
    <t>O RING-BUNA N 70 -FLSTK</t>
  </si>
  <si>
    <t xml:space="preserve">O RING-BUNA N 70  </t>
  </si>
  <si>
    <t>O'RING -FLSTK</t>
  </si>
  <si>
    <t xml:space="preserve">O-RING-FLSTK  </t>
  </si>
  <si>
    <t>S2 O-RING BUNA N 70 -FLSTK</t>
  </si>
  <si>
    <t>O-RING 620</t>
  </si>
  <si>
    <t>O'RING - BUNA  N  70 -FLSTK</t>
  </si>
  <si>
    <t xml:space="preserve">S2 O-RING BUNA N 70  </t>
  </si>
  <si>
    <t xml:space="preserve">O RING BUNA N 90  </t>
  </si>
  <si>
    <t xml:space="preserve">BACK-UP RING  </t>
  </si>
  <si>
    <t>SQ CUT SEAL RING BUNA N  70</t>
  </si>
  <si>
    <t>SQ CUT RING WITH WHITE MARK</t>
  </si>
  <si>
    <t xml:space="preserve">GASKET,CONTROL VALVE  </t>
  </si>
  <si>
    <t xml:space="preserve">GASKET MOUNTING FLG 46  </t>
  </si>
  <si>
    <t xml:space="preserve">2K BALANCE PLATE  </t>
  </si>
  <si>
    <t xml:space="preserve">VALVE PLATE 10K  </t>
  </si>
  <si>
    <t xml:space="preserve">10K WEAR PLATE  </t>
  </si>
  <si>
    <t xml:space="preserve">10K WASHER  </t>
  </si>
  <si>
    <t xml:space="preserve">10K REAR BEARING THRUST  </t>
  </si>
  <si>
    <t xml:space="preserve">10K FRONT BEARING THRUST </t>
  </si>
  <si>
    <t xml:space="preserve">10K BEARING RADIAL  </t>
  </si>
  <si>
    <t xml:space="preserve">4K DUST SEAL  </t>
  </si>
  <si>
    <t xml:space="preserve">6K DUST SEAL  </t>
  </si>
  <si>
    <t xml:space="preserve">2K INNER FACE SEAL  </t>
  </si>
  <si>
    <t xml:space="preserve">2K WEAR PLATE SEAL  </t>
  </si>
  <si>
    <t xml:space="preserve">SEAL SHAFT OLD STYLE  </t>
  </si>
  <si>
    <t xml:space="preserve">WHEEL MTR SEAL SHAFT  </t>
  </si>
  <si>
    <t xml:space="preserve">4K SHAFT SEAL  </t>
  </si>
  <si>
    <t xml:space="preserve">6K SHAFT SEAL  </t>
  </si>
  <si>
    <t xml:space="preserve">PLUG AND O-RING ASSY  </t>
  </si>
  <si>
    <t xml:space="preserve">SHUTTLE/SHIPPING PLUG  </t>
  </si>
  <si>
    <t xml:space="preserve">2K-2SP PLUG  </t>
  </si>
  <si>
    <t xml:space="preserve">6K SHAFT FACE SEAL  </t>
  </si>
  <si>
    <t xml:space="preserve">SEAL SECTION S-10  </t>
  </si>
  <si>
    <t>DRIVE PIN-AUX PUMP   10 -FLSTK</t>
  </si>
  <si>
    <t xml:space="preserve">SEAL FLANGE  </t>
  </si>
  <si>
    <t>BEARING/VIS45 32015JR ASSY</t>
  </si>
  <si>
    <t>BEARING/VIS45 HM518445/10</t>
  </si>
  <si>
    <t xml:space="preserve">SEAL, SHAFT  </t>
  </si>
  <si>
    <t xml:space="preserve">SEAL, PRESSURE  </t>
  </si>
  <si>
    <t xml:space="preserve">EXCLUSION SEAL 2K  </t>
  </si>
  <si>
    <t xml:space="preserve">SEAL DUST  </t>
  </si>
  <si>
    <t xml:space="preserve">SEAL EXCLUSION  </t>
  </si>
  <si>
    <t xml:space="preserve">2K OUTER FACE SEAL  </t>
  </si>
  <si>
    <t xml:space="preserve">10K-2SP PLUG  </t>
  </si>
  <si>
    <t xml:space="preserve">PLUG ASSY 2K-2S  </t>
  </si>
  <si>
    <t xml:space="preserve">PLUG ASSY   VIS 30 2SD  </t>
  </si>
  <si>
    <t>PLUG W/SEAL, HOLLOW HEX - BSPP G1/4</t>
  </si>
  <si>
    <t xml:space="preserve">BLANKING PLUG &amp; SEAL M12 </t>
  </si>
  <si>
    <t xml:space="preserve">4KC SHUTTLE PLUG  </t>
  </si>
  <si>
    <t xml:space="preserve">PLUG W/O ORIFICE  </t>
  </si>
  <si>
    <t xml:space="preserve">OIL SEAL  </t>
  </si>
  <si>
    <t xml:space="preserve">GRASS SHIELD    10-FLSTK </t>
  </si>
  <si>
    <t xml:space="preserve">OIL SEAL NEW VERSION  </t>
  </si>
  <si>
    <t xml:space="preserve">KEY 1/8 X 1/2 IN  </t>
  </si>
  <si>
    <t xml:space="preserve">WASHER - CONTROL SHAFT  </t>
  </si>
  <si>
    <t xml:space="preserve">RETAINER SERVO 33-39-46  </t>
  </si>
  <si>
    <t xml:space="preserve">LINK PIN  </t>
  </si>
  <si>
    <t xml:space="preserve">CONTROL LEVER  </t>
  </si>
  <si>
    <t xml:space="preserve">LINK-CONTROL          54 </t>
  </si>
  <si>
    <t xml:space="preserve">CUP-BEARING           76 </t>
  </si>
  <si>
    <t xml:space="preserve">CONE-BEARING          54 </t>
  </si>
  <si>
    <t xml:space="preserve">CUP-BEARING           54 </t>
  </si>
  <si>
    <t xml:space="preserve">RETAINER SERVO SLEEVE  </t>
  </si>
  <si>
    <t xml:space="preserve">CUP-BEARING 76  </t>
  </si>
  <si>
    <t>Bolt, Hex Head 5/16-18 x1.00</t>
  </si>
  <si>
    <t>BOLT, HEX HEAD 5/16-18 X1.75</t>
  </si>
  <si>
    <t>5/16-18 HEX HEAD BOLT -FLSTK</t>
  </si>
  <si>
    <t>3/8-16 HEX HEAD BOLT -FLSTK</t>
  </si>
  <si>
    <t>8-32 SOC HD CAP SCREW -FLSTK</t>
  </si>
  <si>
    <t>3/8 DIA DOWEL .3752 -FLSTK</t>
  </si>
  <si>
    <t xml:space="preserve">5/16-18 SOC.HD.CAP SCREW </t>
  </si>
  <si>
    <t>5/16-18 SOC.HD.CAP SCREW-FLSTK</t>
  </si>
  <si>
    <t>5/16-18 HEX NUT -FLSTK</t>
  </si>
  <si>
    <t>S2 1/2-20 HEX NUT -FLSTK</t>
  </si>
  <si>
    <t xml:space="preserve">EXTERNAL RETAINING RING  </t>
  </si>
  <si>
    <t>EXTERNAL RETAINING RING -FLSTK</t>
  </si>
  <si>
    <t xml:space="preserve">LOCKWASHER  </t>
  </si>
  <si>
    <t>BEVELED RETAINING RING -FLSTK</t>
  </si>
  <si>
    <t xml:space="preserve">ROLL PIN  </t>
  </si>
  <si>
    <t xml:space="preserve">1-20 SLOTTED HEX LOCKNUT </t>
  </si>
  <si>
    <t>RESERVOIR ADAPTER 6-10 -FLSTK</t>
  </si>
  <si>
    <t xml:space="preserve">BALL BEARING AUX PUMP 11 </t>
  </si>
  <si>
    <t xml:space="preserve">DOWEL-HOLLOW        1.28 </t>
  </si>
  <si>
    <t xml:space="preserve">DOWEL-HOLLOW        1.70 </t>
  </si>
  <si>
    <t xml:space="preserve">SHIM-BRG SHAFT   LD  </t>
  </si>
  <si>
    <t>SEAL KIT VIS30/40 COMPL.STD/WHL W/SEAL GUARD</t>
  </si>
  <si>
    <t>EP CONTROL KIT W/O ELECTRONICS</t>
  </si>
  <si>
    <t>EP MATING CONNECTOR KIT FOR SOLENOID COILS</t>
  </si>
  <si>
    <t xml:space="preserve">END COVER PLATE KIT  </t>
  </si>
  <si>
    <t>EP CNTRL KIT HD SERIES1 33/46 12 V COILS W/O</t>
  </si>
  <si>
    <t>EP CNTRL KIT HD SERIES1 54/64 12 V COILS W/O</t>
  </si>
  <si>
    <t>EP CONTROL KIT HD SERIES1 76</t>
  </si>
  <si>
    <t>EP CONTROL KIT HD SERIES 1 33/46 24 V COILS W/O</t>
  </si>
  <si>
    <t>EP CONTROL KIT HD SERIES 1 54/64 24 V COILS W/O</t>
  </si>
  <si>
    <t>EP CNTRL KIT HD SERIES1 M.76 24 V COILS W/O E</t>
  </si>
  <si>
    <t>EP CNTRL KIT HD SERIES2 33/46 12 V COILS W/O</t>
  </si>
  <si>
    <t>EP CONTROL KIT HD SERIES 2 33/46 24V COILS W/O</t>
  </si>
  <si>
    <t xml:space="preserve">CHARGE PUMP KIT  </t>
  </si>
  <si>
    <t>SEAL KIT 4KC W/LARGE SHAFT STD&amp;WHL SEAL GUARD</t>
  </si>
  <si>
    <t xml:space="preserve">SEAL KIT  VIS30  </t>
  </si>
  <si>
    <t xml:space="preserve">CHARGE PUMP KIT CW 1.28  </t>
  </si>
  <si>
    <t xml:space="preserve">CHARGE PUMP KIT CCW 1.70 </t>
  </si>
  <si>
    <t xml:space="preserve">SEAL KIT  S MOT -012 DES </t>
  </si>
  <si>
    <t xml:space="preserve">SHIM PACK TRUNNION  </t>
  </si>
  <si>
    <t xml:space="preserve">SEAL KIT VIS 30/40 2 SD  </t>
  </si>
  <si>
    <t>KIT END COVER BEARING/333-39</t>
  </si>
  <si>
    <t>SEAL KIT VIS 30/40 2 SD/BRAKE</t>
  </si>
  <si>
    <t xml:space="preserve">SEAL KIT  VIS30/40  </t>
  </si>
  <si>
    <t>SEAL KIT VIS 30-004 VIS40-003</t>
  </si>
  <si>
    <t xml:space="preserve">KIT END COVER BEARING  </t>
  </si>
  <si>
    <t>SEAL KIT W MOTOR W/ HP SHFT SEAL</t>
  </si>
  <si>
    <t>DRIVE SHAFT SHIM PACK MODEL 54 PUMPS AND MOTOR</t>
  </si>
  <si>
    <t>SEAL KIT 420 SERIES POLYACRY, SAE B MT, CODE A</t>
  </si>
  <si>
    <t>ADJ VOL STOP KIT 420 A 420 B see 9900789-001</t>
  </si>
  <si>
    <t>SHIM KIT PVE/420</t>
  </si>
  <si>
    <t xml:space="preserve">GEROTOR S/A KIT  </t>
  </si>
  <si>
    <t>SEAL REPAIR KIT - SERVO PUMPS</t>
  </si>
  <si>
    <t xml:space="preserve">SEAL KIT  VIS45 -004  </t>
  </si>
  <si>
    <t>SEAL REPAIR KIT (REPLACES 26000-909)</t>
  </si>
  <si>
    <t>SEAL REPAIR KIT (REPLACES 26000-902)</t>
  </si>
  <si>
    <t>CONVERSION KIT (GEROTOR W/ ROUND KEYS)</t>
  </si>
  <si>
    <t xml:space="preserve">BEARING KIT TRUNNION  </t>
  </si>
  <si>
    <t xml:space="preserve">KIT, 10K MOTOR W/SLINGER </t>
  </si>
  <si>
    <t xml:space="preserve">CHG PUMP CONVERSION KIT  </t>
  </si>
  <si>
    <t xml:space="preserve">SEAL KIT SERIES 5 SCU  </t>
  </si>
  <si>
    <t>SEAL KIT 2K STD W LARGE OUTPUT SHAFT</t>
  </si>
  <si>
    <t>Endcover S/A, Thru-DriveDual B, Code 61, 3.00</t>
  </si>
  <si>
    <t xml:space="preserve">ASSEMBLY TOOL KIT (S420) </t>
  </si>
  <si>
    <t xml:space="preserve">CONTROL VALVE KIT  </t>
  </si>
  <si>
    <t>SEAL KIT VIS30-005 VIS40-004</t>
  </si>
  <si>
    <t>2K SEAL KIT/HIGH PRESSURE SEAL</t>
  </si>
  <si>
    <t xml:space="preserve">SEAL KIT, 6K TRIPLE LIP  </t>
  </si>
  <si>
    <t xml:space="preserve">SERVO SLEEVE  KIT     33 </t>
  </si>
  <si>
    <t xml:space="preserve">SEAL KIT MOTOR 4K  </t>
  </si>
  <si>
    <t xml:space="preserve">VALVE BLOCK S/A KIT 160  </t>
  </si>
  <si>
    <t xml:space="preserve">SEAL KIT W/SEAL GUARD  </t>
  </si>
  <si>
    <t>BRAKE SEAL KIT VIS 30 &amp; 40</t>
  </si>
  <si>
    <t xml:space="preserve">BRAKE LINING KIT VIS 30  </t>
  </si>
  <si>
    <t xml:space="preserve">BRAKE BEARING KIT VIS 30 </t>
  </si>
  <si>
    <t xml:space="preserve">SEAL KIT DELTA MOTOR  </t>
  </si>
  <si>
    <t xml:space="preserve">SEAL KIT - DELTA MOTOR  </t>
  </si>
  <si>
    <t xml:space="preserve">4K COMPACT/SEAL KIT  </t>
  </si>
  <si>
    <t xml:space="preserve">SEAL KIT COMPLETE 2K-HP  </t>
  </si>
  <si>
    <t xml:space="preserve">PUMP HP SEAL KIT  </t>
  </si>
  <si>
    <t xml:space="preserve">SRS 5 SEAL KIT  </t>
  </si>
  <si>
    <t xml:space="preserve">SEAL KIT MOTOR2K  </t>
  </si>
  <si>
    <t xml:space="preserve">SEAL KIT, 4K  </t>
  </si>
  <si>
    <t>COMPENSATOR KIT ADU0000000000A43140000000000000B</t>
  </si>
  <si>
    <t>COMPENSATOR KIT ADU0000000000B43240000000000000B</t>
  </si>
  <si>
    <t>COMPENSATOR KIT ADU0000000000A43240000000000000B</t>
  </si>
  <si>
    <t>COMPENSATOR KIT ADU0000000000B35140000000000000B</t>
  </si>
  <si>
    <t xml:space="preserve">BEARING KIT, MTG FLG  </t>
  </si>
  <si>
    <t>KIT END COVER BEARING/766</t>
  </si>
  <si>
    <t xml:space="preserve">DRIVESHAFT SHIM KIT  </t>
  </si>
  <si>
    <t xml:space="preserve">PUMP CV SERVICE KIT STD  </t>
  </si>
  <si>
    <t xml:space="preserve">PUMP CV SERVICE KIT-STD. </t>
  </si>
  <si>
    <t xml:space="preserve">EP CONTROL SERVICE KIT  </t>
  </si>
  <si>
    <t xml:space="preserve">4K COMPACT SEAL KIT  </t>
  </si>
  <si>
    <t>SEAL KIT 420 SERIES POLYACRY, SAE B MT, CODE B</t>
  </si>
  <si>
    <t>SEAL KIT W/ VITON SHAFT SEAL W/SAEC-M (CODE B)</t>
  </si>
  <si>
    <t xml:space="preserve">SEAL KIT-VITON  </t>
  </si>
  <si>
    <t xml:space="preserve">SEAL KIT/PINION SHAFT  </t>
  </si>
  <si>
    <t xml:space="preserve">INPUT SHAFT KIT  </t>
  </si>
  <si>
    <t xml:space="preserve">SEAL KIT/2K  </t>
  </si>
  <si>
    <t>SEAL KIT HP30 2S BEARINGLESS /W BPLATE + REV. CF</t>
  </si>
  <si>
    <t xml:space="preserve">HP 30 SINGLE SPEED  </t>
  </si>
  <si>
    <t>SEAL KIT / HP 30 TWO SPEED (STANDARD &amp; WHEEL)</t>
  </si>
  <si>
    <t xml:space="preserve">SHUTTLE VLVE SERVICE KIT </t>
  </si>
  <si>
    <t xml:space="preserve">GEROTOR KIT  </t>
  </si>
  <si>
    <t xml:space="preserve">T-MOTOR SEAL KIT  </t>
  </si>
  <si>
    <t xml:space="preserve">ROTOR KIT  </t>
  </si>
  <si>
    <t xml:space="preserve">SEAL KIT/6K  </t>
  </si>
  <si>
    <t>SEAL KIT (FLUOROCARBON) 620</t>
  </si>
  <si>
    <t xml:space="preserve">SEAL KIT/10K MOTOR  </t>
  </si>
  <si>
    <t xml:space="preserve">Seal Repair Kit  </t>
  </si>
  <si>
    <t xml:space="preserve">RESERVOIR KIT  </t>
  </si>
  <si>
    <t>COMP KIT ADY0000000000A28200000000000000A</t>
  </si>
  <si>
    <t xml:space="preserve">620 THROUGH DRIVE KIT  </t>
  </si>
  <si>
    <t xml:space="preserve">SEAL KIT - 4K  </t>
  </si>
  <si>
    <t xml:space="preserve">FG/KITS/MFG MOTORS  </t>
  </si>
  <si>
    <t xml:space="preserve">T MOTOR SEAL KIT  </t>
  </si>
  <si>
    <t>HP30 SINGLE SPEED SEAL KIT</t>
  </si>
  <si>
    <t xml:space="preserve">SEAL KIT/HP30  </t>
  </si>
  <si>
    <t xml:space="preserve">BRAKE SEAL KIT  </t>
  </si>
  <si>
    <t xml:space="preserve">T MOTOR KIT  </t>
  </si>
  <si>
    <t>2000 SERIES COMPLETE  SEAL  KIT - HIGH  PSI</t>
  </si>
  <si>
    <t xml:space="preserve">SEAL OVERHAUL KIT  </t>
  </si>
  <si>
    <t xml:space="preserve">SEAL KIT - HP30  </t>
  </si>
  <si>
    <t xml:space="preserve">PV SEALING O/HAUL KIT  </t>
  </si>
  <si>
    <t>SEAL KIT - 4K COMPACT MOTOR</t>
  </si>
  <si>
    <t xml:space="preserve">SEAL OVERHAUL KIT 46  </t>
  </si>
  <si>
    <t>S5 SEAL KIT WITH QUAD SEAL</t>
  </si>
  <si>
    <t>SEAL KIT FOR FIX.DISPL. MOTORS, MODEL 76</t>
  </si>
  <si>
    <t>DISPLACEMENT STOP KIT 220, 28CC</t>
  </si>
  <si>
    <t>SEAL KIT VITON SHFT SEAL 220, 28CC</t>
  </si>
  <si>
    <t>SEAL OVERHAUL KIT 33/39/46</t>
  </si>
  <si>
    <t>SEAL KIT H SERIES H -008, A -002</t>
  </si>
  <si>
    <t xml:space="preserve">HP30 2 SPEED MOTOR KIT  </t>
  </si>
  <si>
    <t xml:space="preserve">HP30 KIT ASSY  </t>
  </si>
  <si>
    <t xml:space="preserve">HP30 SEAL KIT  </t>
  </si>
  <si>
    <t xml:space="preserve">SEALING OVERHAUL KIT  76 </t>
  </si>
  <si>
    <t xml:space="preserve">SEAL KIT REL.VAL.CAT.  </t>
  </si>
  <si>
    <t xml:space="preserve">CHARGE PUMP COVER-BEARIN </t>
  </si>
  <si>
    <t>2K SEAL REPAIR KIT HP/SEAL GUARD/LARGE OUTPUT SH</t>
  </si>
  <si>
    <t xml:space="preserve">HP30 CONVERSION KIT 003  </t>
  </si>
  <si>
    <t xml:space="preserve">MTR SEAL KIT 6029894-002 </t>
  </si>
  <si>
    <t xml:space="preserve">HP30 SEAL KIT -003 2SPD  </t>
  </si>
  <si>
    <t xml:space="preserve">X20 NGC CONVERSION KIT  </t>
  </si>
  <si>
    <t>SHAFT SEAL KIT 33-64 S1 33-46 S2</t>
  </si>
  <si>
    <t>FEEDBACK SENSOR ADAPTER KIT</t>
  </si>
  <si>
    <t>EP, SOLENOID CONTROL, SERVICE KIT</t>
  </si>
  <si>
    <t xml:space="preserve">KIT SHAFT SEAL  </t>
  </si>
  <si>
    <t xml:space="preserve">REMOTE HYD CONT KIT 0-15 </t>
  </si>
  <si>
    <t xml:space="preserve">REMOTE HYD. CONTROL KIT  </t>
  </si>
  <si>
    <t xml:space="preserve">A-PAD CHG PUMP CONV KIT  </t>
  </si>
  <si>
    <t xml:space="preserve">M7 OVERHAUL GASKET KIT  </t>
  </si>
  <si>
    <t xml:space="preserve">LD SEALING KIT M-11  </t>
  </si>
  <si>
    <t xml:space="preserve">ESC CONTROL VALVE KIT  </t>
  </si>
  <si>
    <t xml:space="preserve">MOOG CONTR.76  </t>
  </si>
  <si>
    <t xml:space="preserve">GEAR SECTION GASKET KIT  </t>
  </si>
  <si>
    <t xml:space="preserve">CHG PUMP BODY KIT  </t>
  </si>
  <si>
    <t xml:space="preserve">AUX CHG PUMP COVER KIT  </t>
  </si>
  <si>
    <t xml:space="preserve">B CHG PUMP KIT CCW .85  </t>
  </si>
  <si>
    <t>B-PAD CHARGE PUMP KIT CW 1.28</t>
  </si>
  <si>
    <t>B PAD CHG PUMP KIT  CW 1.28</t>
  </si>
  <si>
    <t xml:space="preserve">B CHG PUMP KIT CCW 1.28  </t>
  </si>
  <si>
    <t>B PAD CHARGE PMP KIT CCW1.28</t>
  </si>
  <si>
    <t>STD.B-PAD CHARGE PUMP KIIT</t>
  </si>
  <si>
    <t xml:space="preserve">B-PAD CHG PUMP KIT 170CW </t>
  </si>
  <si>
    <t>STD.A-PAD CHARGE PUMP KIIT</t>
  </si>
  <si>
    <t xml:space="preserve">A CHG PUMP KIT CCW .85  </t>
  </si>
  <si>
    <t xml:space="preserve">1.28 CW A-PAD KIT  </t>
  </si>
  <si>
    <t xml:space="preserve">A CHG PUMP KIT CW 1.28  </t>
  </si>
  <si>
    <t xml:space="preserve">A CHG PUMP KIT CCW 1.70  </t>
  </si>
  <si>
    <t xml:space="preserve">M6/7 12T GEAR KIT  </t>
  </si>
  <si>
    <t xml:space="preserve">DISP.CONVERSION KIT  </t>
  </si>
  <si>
    <t xml:space="preserve">B-PAD CP CONV KIT 1.70  </t>
  </si>
  <si>
    <t xml:space="preserve">END COVER BEARING KIT  </t>
  </si>
  <si>
    <t xml:space="preserve">BEARING KIT,MTG.FLANGE  </t>
  </si>
  <si>
    <t xml:space="preserve">VALVE SHIM KIT  </t>
  </si>
  <si>
    <t xml:space="preserve">KIT SER.1 HOLD DOWN  </t>
  </si>
  <si>
    <t>HOLD DOWN KIT SERIES 1 54FC 64FC</t>
  </si>
  <si>
    <t>ROT. GROUP KIT 46FCPV/MFF</t>
  </si>
  <si>
    <t>ROT. GROUP KIT 54FCPV/MFF</t>
  </si>
  <si>
    <t xml:space="preserve">ROT. GROUP KIT 54FC MV  </t>
  </si>
  <si>
    <t xml:space="preserve">ROT. GROUP KIT 64FC MV  </t>
  </si>
  <si>
    <t xml:space="preserve">CHG PUMP KIT .85 CCW  </t>
  </si>
  <si>
    <t xml:space="preserve">CH PUMP KIT 1.70 CCW  </t>
  </si>
  <si>
    <t xml:space="preserve">CHG PUMP KIT 1.28 CW 'A' </t>
  </si>
  <si>
    <t xml:space="preserve">CHG PUMP KIT 1.28 CW B  </t>
  </si>
  <si>
    <t xml:space="preserve">CHG PUMP KIT 1.70 CW 'A' </t>
  </si>
  <si>
    <t xml:space="preserve">P/S PUMP BDY BUSH KIT  </t>
  </si>
  <si>
    <t xml:space="preserve">VALVE BLOCK KIT  </t>
  </si>
  <si>
    <t xml:space="preserve">CHG PMP BODY BEARING KIT </t>
  </si>
  <si>
    <t xml:space="preserve">VARIABLE SWASHPLATE KIT  </t>
  </si>
  <si>
    <t xml:space="preserve">COVER PLATE KIT  </t>
  </si>
  <si>
    <t xml:space="preserve">WET B PAD CVR / BSHG KIT </t>
  </si>
  <si>
    <t xml:space="preserve">B-PAD REM FIL CHRG PMP K </t>
  </si>
  <si>
    <t xml:space="preserve">NLO ADAPTER KIT  </t>
  </si>
  <si>
    <t xml:space="preserve">N/C NEUT LCKOT SWTCH KIT </t>
  </si>
  <si>
    <t xml:space="preserve">S2 CHARGE PUMP KIT  </t>
  </si>
  <si>
    <t xml:space="preserve">S2 MANUAL CONTROL KIT  </t>
  </si>
  <si>
    <t xml:space="preserve">S2 MANUAL CONTROL W L/O  </t>
  </si>
  <si>
    <t xml:space="preserve">S2 MANUAL CONTROL W BAND </t>
  </si>
  <si>
    <t>SHAFT SEAL KIT 33-64 S1/S2       S/B 9901258-000</t>
  </si>
  <si>
    <t xml:space="preserve">S2 OVERHAUL GASKET KIT  </t>
  </si>
  <si>
    <t xml:space="preserve">NP HOLD DOWN KIT  </t>
  </si>
  <si>
    <t xml:space="preserve">NP HOLD DOWN KIT M54/64  </t>
  </si>
  <si>
    <t xml:space="preserve">S2 C-PAD C/P ADAPTER KIT </t>
  </si>
  <si>
    <t>S2 C-PAD CHARGE PUMP ADAPTOR KIT</t>
  </si>
  <si>
    <t xml:space="preserve">S2 SPEED SENSOR KIT  </t>
  </si>
  <si>
    <t xml:space="preserve">NP SHAFT SEAL KIT  </t>
  </si>
  <si>
    <t xml:space="preserve">NEUTRAL L/0 SWITCH N/C  </t>
  </si>
  <si>
    <t xml:space="preserve">EP CONTR MATING CONNECT  </t>
  </si>
  <si>
    <t xml:space="preserve">RE CONV. KIT W/O CONTROL </t>
  </si>
  <si>
    <t>RE CONV. KIT W/O CONTROLL</t>
  </si>
  <si>
    <t>FEEDBACK SENSOR KIT S2 REPLACED BY 9901272-000</t>
  </si>
  <si>
    <t>EP CONTROL VALVE 24 V KIT</t>
  </si>
  <si>
    <t>EP CONTROL VALVE 24 VOLT KIT</t>
  </si>
  <si>
    <t xml:space="preserve">WET A-PAD CHARGE PMP KIT </t>
  </si>
  <si>
    <t>WET A-PAD CHARGE PUMP KIT S-1</t>
  </si>
  <si>
    <t xml:space="preserve">SEAL KIT XCEL 2K  </t>
  </si>
  <si>
    <t xml:space="preserve">SEAL KIT XCEL45 STD  </t>
  </si>
  <si>
    <t xml:space="preserve">SEAL KIT BOBV  </t>
  </si>
  <si>
    <t xml:space="preserve">SEAL KIT XCEL CH MOTOR  </t>
  </si>
  <si>
    <t xml:space="preserve">SEAL KIT XCEL CS MOTOR  </t>
  </si>
  <si>
    <t xml:space="preserve">SEAL KIT XLH HP  </t>
  </si>
  <si>
    <t xml:space="preserve">SEAL KIT XCEL45 DUAL  </t>
  </si>
  <si>
    <t xml:space="preserve">SEAL KIT XL2 STD/WHL HP  </t>
  </si>
  <si>
    <t xml:space="preserve">SEAL KIT XLS HP  </t>
  </si>
  <si>
    <t>M0J05A01A1000A0B</t>
  </si>
  <si>
    <t>M0J08A01A1000A0B</t>
  </si>
  <si>
    <t>M0J12A01A1000A0B</t>
  </si>
  <si>
    <t>M0J19A01A1000A0B</t>
  </si>
  <si>
    <t>M0J05B02B2000A0B</t>
  </si>
  <si>
    <t>M0J08B02B2000A0B</t>
  </si>
  <si>
    <t>M0J12B02B2000A0B</t>
  </si>
  <si>
    <t>M0J19B02B2000A0B</t>
  </si>
  <si>
    <t>M0J05A06A1000A0B</t>
  </si>
  <si>
    <t>M0J12B06B2000A0B</t>
  </si>
  <si>
    <t>M0J19B06B2000A0B</t>
  </si>
  <si>
    <t>M0J05A01D1000A0B</t>
  </si>
  <si>
    <t>M0J08A01D1000A0B</t>
  </si>
  <si>
    <t>M0J12A01D1000A0B</t>
  </si>
  <si>
    <t>M0J19A01D1000A0B</t>
  </si>
  <si>
    <t>M0J05B02E2000A0B</t>
  </si>
  <si>
    <t>M0J08B02E2000A0B</t>
  </si>
  <si>
    <t>M0J12B02E2000A0B</t>
  </si>
  <si>
    <t>M0J19B02E2000A0B</t>
  </si>
  <si>
    <t>M0J08A06D1000A0B</t>
  </si>
  <si>
    <t>M0J05B02C3000A0B</t>
  </si>
  <si>
    <t>M0J08B02C3000A0B</t>
  </si>
  <si>
    <t>M0J12B02C3000A0B</t>
  </si>
  <si>
    <t>M0J08B05C3000A0B</t>
  </si>
  <si>
    <t>M0J05B06C3000A0B</t>
  </si>
  <si>
    <t>M0J08B06C3000A0B</t>
  </si>
  <si>
    <t>M0J12B06C3000A0B</t>
  </si>
  <si>
    <t>M0J19B06C3000A0B</t>
  </si>
  <si>
    <t>M0J05B02G3000A0B</t>
  </si>
  <si>
    <t>M0J08B02G3000B0B</t>
  </si>
  <si>
    <t>M0J12B02G3000A0B</t>
  </si>
  <si>
    <t>M0J19B02G3000A0B</t>
  </si>
  <si>
    <t>M0J19D02G3000A0B</t>
  </si>
  <si>
    <t>M0J19D05G3000A0B</t>
  </si>
  <si>
    <t>M0J05A04D1000A0B</t>
  </si>
  <si>
    <t>M0J19A04D1000A0B</t>
  </si>
  <si>
    <t>M0J05D02E2000A0B</t>
  </si>
  <si>
    <t>M0J08D02E2000A0B</t>
  </si>
  <si>
    <t>M0J12D02E2000A0B</t>
  </si>
  <si>
    <t>M0J19D02E2000A0B</t>
  </si>
  <si>
    <t>M0J05D02B2000A0B</t>
  </si>
  <si>
    <t>M0J12D02B2000A0B</t>
  </si>
  <si>
    <t>M0J05B02H2000A0B</t>
  </si>
  <si>
    <t>M0J08B02H2000A0B</t>
  </si>
  <si>
    <t>M0J12B02H2000A0B</t>
  </si>
  <si>
    <t>M0J19B02H2000A0B</t>
  </si>
  <si>
    <t>M0J05D02H2000A0B</t>
  </si>
  <si>
    <t>M0J08D02H2000A0B</t>
  </si>
  <si>
    <t>M0J19D02H2000A0B</t>
  </si>
  <si>
    <t>M0J08B05E2000A0B</t>
  </si>
  <si>
    <t>M0J19B05E2000A0B</t>
  </si>
  <si>
    <t>M0J19B05B2000A0B</t>
  </si>
  <si>
    <t>M0J05A07A1000A0B</t>
  </si>
  <si>
    <t>M0J19B05H2000A0B</t>
  </si>
  <si>
    <t>M0J12A01D100000B</t>
  </si>
  <si>
    <t>M0J05A01D100000B</t>
  </si>
  <si>
    <t>M0J19B02A100000B</t>
  </si>
  <si>
    <t>M0J19B14E2000A0B</t>
  </si>
  <si>
    <t>M0J05A01A000000B</t>
  </si>
  <si>
    <t>M0J19A01A000000B</t>
  </si>
  <si>
    <t>M0J12B06C000000B</t>
  </si>
  <si>
    <t>M0J08B02B000000B</t>
  </si>
  <si>
    <t>M0J12B02B000000B</t>
  </si>
  <si>
    <t>M0J19B02B000000B</t>
  </si>
  <si>
    <t>M0J19B05B000000B</t>
  </si>
  <si>
    <t>M0J05B06B000000B</t>
  </si>
  <si>
    <t>M0J05B02H000000B</t>
  </si>
  <si>
    <t>M0J12B02H000000B</t>
  </si>
  <si>
    <t>M0J19B02H000000B</t>
  </si>
  <si>
    <t>M0J08B06H000000B</t>
  </si>
  <si>
    <t>M0J19A01D000000B</t>
  </si>
  <si>
    <t>M0J12B02F000000B</t>
  </si>
  <si>
    <t>M0J19B02F000000B</t>
  </si>
  <si>
    <t>M0J05B02E000000B</t>
  </si>
  <si>
    <t>M0J08B02E000000B</t>
  </si>
  <si>
    <t>M0J12B02E000000B</t>
  </si>
  <si>
    <t>M0J19B02E000000B</t>
  </si>
  <si>
    <t>M0J05B05E000000B</t>
  </si>
  <si>
    <t>M0J08B05E000000B</t>
  </si>
  <si>
    <t>M0J12B05E000000B</t>
  </si>
  <si>
    <t>M0J19B05E000000B</t>
  </si>
  <si>
    <t>M0J08B06E000000B</t>
  </si>
  <si>
    <t>M0J30B02E000000B</t>
  </si>
  <si>
    <t>M0J05A01A0000A0B</t>
  </si>
  <si>
    <t>M0J30D02E2000A0B</t>
  </si>
  <si>
    <t>M0J19B02E200000B</t>
  </si>
  <si>
    <t>M0J05B14E2000A0B</t>
  </si>
  <si>
    <t>M0J05B14H2000A0B</t>
  </si>
  <si>
    <t>M0J19A23A1000B0B</t>
  </si>
  <si>
    <t>M0J12B08E0000A0B</t>
  </si>
  <si>
    <t>M0J19B02E0000D0B</t>
  </si>
  <si>
    <t>M0J19B02E2070A0B</t>
  </si>
  <si>
    <t>M0J30B02E2000A0B</t>
  </si>
  <si>
    <t>M0J30B02H2000A0B</t>
  </si>
  <si>
    <t>M0J30B02B014000B</t>
  </si>
  <si>
    <t>M0J30B02H000000B</t>
  </si>
  <si>
    <t>M0J30B05H000000B</t>
  </si>
  <si>
    <t>M0J30A01D000000B</t>
  </si>
  <si>
    <t>M0J30A04D000000B</t>
  </si>
  <si>
    <t>M0J30B05E000000B</t>
  </si>
  <si>
    <t>M0J30B06E000000B</t>
  </si>
  <si>
    <t>M0J19D05E2000A0B</t>
  </si>
  <si>
    <t>M0J19C04E0000A0B</t>
  </si>
  <si>
    <t>M0J05B02H200000B</t>
  </si>
  <si>
    <t>M0J08B02H200000B</t>
  </si>
  <si>
    <t>M0J30A04D1060A0B</t>
  </si>
  <si>
    <t>M0J30D14E2000A0B</t>
  </si>
  <si>
    <t>M0J08C01D1000A0B</t>
  </si>
  <si>
    <t>M0J12B02E007000B</t>
  </si>
  <si>
    <t>M0J12B06A0000A6B</t>
  </si>
  <si>
    <t>M0J08B02E2070A0B</t>
  </si>
  <si>
    <t>M0J12B02E2070A0B</t>
  </si>
  <si>
    <t>M0J19A01B2000A0B</t>
  </si>
  <si>
    <t>M0J05C01A1001A0B</t>
  </si>
  <si>
    <t>M0J08A01A1020A0B</t>
  </si>
  <si>
    <t>M0J12C01D1000A0B</t>
  </si>
  <si>
    <t>M0J08B14F0000A0B</t>
  </si>
  <si>
    <t>M0J30B02E0000A0B</t>
  </si>
  <si>
    <t>M0J12A01A1020A0B</t>
  </si>
  <si>
    <t>M0J05B02E0000A0B</t>
  </si>
  <si>
    <t>M0J12B02E2080A0B</t>
  </si>
  <si>
    <t>M0J12A08A000000B</t>
  </si>
  <si>
    <t>M0J12B02H2080A0B</t>
  </si>
  <si>
    <t>M0J12A23A000000B</t>
  </si>
  <si>
    <t>M0J19A01D1070A0B</t>
  </si>
  <si>
    <t>M0J12B05H0000A0B</t>
  </si>
  <si>
    <t>M0J08D07E2003A0B</t>
  </si>
  <si>
    <t xml:space="preserve">J MOTOR /LG BLACK  </t>
  </si>
  <si>
    <t>M0J05C02F2000A0B</t>
  </si>
  <si>
    <t>M0J08B14B000000B</t>
  </si>
  <si>
    <t>M0J12B14B000000B</t>
  </si>
  <si>
    <t>M0J08B21E0070A0B</t>
  </si>
  <si>
    <t>M0J19B02E2001B0B</t>
  </si>
  <si>
    <t xml:space="preserve">CONTROL VALVE ASSEMBLY  </t>
  </si>
  <si>
    <t xml:space="preserve">VAL ASY (SIM TO -CBR)  </t>
  </si>
  <si>
    <t xml:space="preserve">RELIEF VALVE ASSY  </t>
  </si>
  <si>
    <t xml:space="preserve">REL VALVE ASSY 5500 PSI  </t>
  </si>
  <si>
    <t xml:space="preserve">BRAKE VAL ASSY  </t>
  </si>
  <si>
    <t xml:space="preserve">VAA1A60A0010000A  </t>
  </si>
  <si>
    <t xml:space="preserve">VAA1A60AG00AF00A  </t>
  </si>
  <si>
    <t xml:space="preserve">VAB1AA6030BB01AA000A00A  </t>
  </si>
  <si>
    <t xml:space="preserve">A-52-25 VAL ASSEMBLY  </t>
  </si>
  <si>
    <t xml:space="preserve">VLE601C4400B  </t>
  </si>
  <si>
    <t xml:space="preserve">VLCL31B900FB  </t>
  </si>
  <si>
    <t xml:space="preserve">VLH903C44D0B  </t>
  </si>
  <si>
    <t xml:space="preserve">VLE603B44P0B  </t>
  </si>
  <si>
    <t xml:space="preserve">VLE603C44P0B  </t>
  </si>
  <si>
    <t xml:space="preserve">VLH703C44D2B  </t>
  </si>
  <si>
    <t xml:space="preserve">VLE103C44P0B  </t>
  </si>
  <si>
    <t xml:space="preserve">VLCL53A9000B  </t>
  </si>
  <si>
    <t xml:space="preserve">VLCL53B9000B  </t>
  </si>
  <si>
    <t xml:space="preserve">VLEB03B44P0B  </t>
  </si>
  <si>
    <t xml:space="preserve">VLEB03B44F0B  </t>
  </si>
  <si>
    <t xml:space="preserve">VLEB03C44P0B  </t>
  </si>
  <si>
    <t xml:space="preserve">VLE103C44N0B  </t>
  </si>
  <si>
    <t xml:space="preserve">VLCL53B0000B  </t>
  </si>
  <si>
    <t xml:space="preserve">VLH803C00K2B  </t>
  </si>
  <si>
    <t xml:space="preserve">VLE603A44M0B  </t>
  </si>
  <si>
    <t xml:space="preserve">VLHG04C44U2B  </t>
  </si>
  <si>
    <t xml:space="preserve">VLE1A3B00L0B  </t>
  </si>
  <si>
    <t>ADU062R02AA10AC430000000100100CD00C</t>
  </si>
  <si>
    <t>ADU049R02AA10AC430000000100100CD00C</t>
  </si>
  <si>
    <t>ADU062R05AA10AA431400000100100CD00C</t>
  </si>
  <si>
    <t>ADU062R05AB10AA431400000100100CD00C</t>
  </si>
  <si>
    <t>ADU049R08AB10AA4314000001AA100CD00C</t>
  </si>
  <si>
    <t>ADU049R08AB10AA431400000100100CD00C</t>
  </si>
  <si>
    <t>ADU062R08AB10AA4314000001AC100CD00C</t>
  </si>
  <si>
    <t>ADU049R05AA10AA431400000100100CD00C</t>
  </si>
  <si>
    <t>ADU041R02AE10AC430000000100100CD00C</t>
  </si>
  <si>
    <t>ADU041R05AF10AA431400000100100CD00C</t>
  </si>
  <si>
    <t>ADU041R05AF10AA4314000001AA100CD00C</t>
  </si>
  <si>
    <t>ADU041R08AF10AA4314000001AC100CD00C</t>
  </si>
  <si>
    <t>ADU062L08AB10AA2814000001AC100CD00C</t>
  </si>
  <si>
    <t>ADU062R01AB10AC430000000100100CD00C</t>
  </si>
  <si>
    <t>ADU062R05AB10AC2100000001AC100CD00C</t>
  </si>
  <si>
    <t>ADU049R05AA10AA4324000A0700100CD00C</t>
  </si>
  <si>
    <t>ADU062R08AA10AA432400000100100CD00C</t>
  </si>
  <si>
    <t>ADU049R02AE10AC280000000200400CD00C</t>
  </si>
  <si>
    <t>ADU062L05AB10AA431400000100100CD00C</t>
  </si>
  <si>
    <t>ADU062R02AB10AA3514000002AA2AACD00C</t>
  </si>
  <si>
    <t>ADU062R02AB10AA3514000002AC200CD00C</t>
  </si>
  <si>
    <t>ADU049R08AA10AA281400000100100CD00C</t>
  </si>
  <si>
    <t>ADU049L05AB10AA431400000100100CD00C</t>
  </si>
  <si>
    <t>ADU049R05AD34AB351400000200100CD00C</t>
  </si>
  <si>
    <t>ADU049L05AD34AB351400000100100CD00C</t>
  </si>
  <si>
    <t>ADU062L08AD34AB351400000200100CD00C</t>
  </si>
  <si>
    <t>ADU041R05AC32AB351400000100100CD00C</t>
  </si>
  <si>
    <t>ADU041R02AE10AA1620000002001000000C</t>
  </si>
  <si>
    <t>ADU041R05AB10AA431400000100100CD00C</t>
  </si>
  <si>
    <t>ADU041R05AB10AA2814000A0100100CD00C</t>
  </si>
  <si>
    <t>ADU049R05AB10AA4314000A0100100CD00C</t>
  </si>
  <si>
    <t>ADU041R08AB10AA431400000100100CD00C</t>
  </si>
  <si>
    <t>ADU049R08AB10AA4314000002AA100CD00C</t>
  </si>
  <si>
    <t>ADU049R08AB10AA4314000A0100100CD00C</t>
  </si>
  <si>
    <t>ADU049R02AE10AA162000000200100CD00C</t>
  </si>
  <si>
    <t>ADU062R02AC10AA162000000200100CD00C</t>
  </si>
  <si>
    <t>ADU041R02AE10AA162000000200100CD00C</t>
  </si>
  <si>
    <t>ADU041R02AB10AC430000000200100CD00C</t>
  </si>
  <si>
    <t>ADU041R02AB10AA281400000200100CD00C</t>
  </si>
  <si>
    <t>ADU041R05AF10AA281400000200100CD00C</t>
  </si>
  <si>
    <t>ADU041R01AE10AC280000000200200CD00C</t>
  </si>
  <si>
    <t>ADU041L08AF10AA431400000100100CD00C</t>
  </si>
  <si>
    <t>ADU062R01AB10AC2800000001AA100CD00C</t>
  </si>
  <si>
    <t>ADU062R08AB10AA321700000100100CD00C</t>
  </si>
  <si>
    <t>ADU062R32AB10AA3520000001AD500CD00C</t>
  </si>
  <si>
    <t>ADU049R05AB10AA4314000002AC1AACD00C</t>
  </si>
  <si>
    <t>ADU062R08AB10AA431400000200100CD00C</t>
  </si>
  <si>
    <t>ADU062L08AB10AA4324000001AB1AB0B00C</t>
  </si>
  <si>
    <t>ADU062R32AB10AA3514000002AC500CD00C</t>
  </si>
  <si>
    <t>ADU062R05AB13AA2714000A0200200CD00C</t>
  </si>
  <si>
    <t>ADU062R02AB10AA432400000200100CD00C</t>
  </si>
  <si>
    <t>ADU062R05AB10AA432400000200100CD00C</t>
  </si>
  <si>
    <t>ADU062R08AB10AA4324000002AC100CD00C</t>
  </si>
  <si>
    <t>ADU041R02AB10AA431400000200100CD00C</t>
  </si>
  <si>
    <t>ADU062L05AA10AA281400000100100CD00C</t>
  </si>
  <si>
    <t>ADU062R32AC65AE3214000A0100500CD00C</t>
  </si>
  <si>
    <t>ADU041L05AB10AC430000000200100CD00C</t>
  </si>
  <si>
    <t>ADU049R05AA10AA431400000200100CD00C</t>
  </si>
  <si>
    <t>ADU041R05AF10AC2800000002AC100CD00C</t>
  </si>
  <si>
    <t>ADU062L08AB10AA2820000001AD100CD00C</t>
  </si>
  <si>
    <t>ADU062R05AB10AA4314000002AC100CD00C</t>
  </si>
  <si>
    <t>ADU041R05AE10AC280000000100100CD00C</t>
  </si>
  <si>
    <t>ADU062R08AA10AA432400000200100CD00C</t>
  </si>
  <si>
    <t>ADU041R05AB10AC4300000002AC100CD00C</t>
  </si>
  <si>
    <t>ADU049R02AA10AA431400000100100CD00C</t>
  </si>
  <si>
    <t>ADU062L02AB10AA281400000100100CD00C</t>
  </si>
  <si>
    <t>ADU062R32AB10AA4314000002AD500CD00C</t>
  </si>
  <si>
    <t>ADU049L08AD40AB4310000001AC200CD00C</t>
  </si>
  <si>
    <t>ADU049L02AD10AC430000000200100CD00C</t>
  </si>
  <si>
    <t>ADU049L02AD10AA432000000200100CD00C</t>
  </si>
  <si>
    <t>ADU041L05AB10AC280000000100100CD00C</t>
  </si>
  <si>
    <t>ADU062R08AB10AA4314000001AA1000B00C</t>
  </si>
  <si>
    <t>ADU062L32AA10AC1200000001005000B00C</t>
  </si>
  <si>
    <t>ADU041R02AB10AA272400000100100CD00C</t>
  </si>
  <si>
    <t>ADU041R08AB10AA2814000001AA100CD00C</t>
  </si>
  <si>
    <t>ADU041R05AB10AA431400000100200CD00C</t>
  </si>
  <si>
    <t>ADU041R08AB10AA431400000100200CD00C</t>
  </si>
  <si>
    <t>ADU041L08AB10AA431400000100200CD00C</t>
  </si>
  <si>
    <t>ADU041L02AB10AA431400000200200CD00C</t>
  </si>
  <si>
    <t>ADU041R02AA10AA431400000200100CD00C</t>
  </si>
  <si>
    <t>ADU041R08AF10AA4314000002AC100CD00C</t>
  </si>
  <si>
    <t>ADU062R02AB10AA431400000200100CD00C</t>
  </si>
  <si>
    <t>ADU062R05AB10AA2824000A02AB100CD00C</t>
  </si>
  <si>
    <t>ADU062L02AA10AA431400000200100CD00C</t>
  </si>
  <si>
    <t>ADU080L33AB10AC2800000002AC500CD00C</t>
  </si>
  <si>
    <t>ADU041L05AB10AA281400000200100CD00C</t>
  </si>
  <si>
    <t>ADU049R02AB10AC350000000100100CD00C</t>
  </si>
  <si>
    <t>ADU062R05AB10AA2714000002AA2AACD00C</t>
  </si>
  <si>
    <t>ADU062R08AB10AA2821000002AD100CD00C</t>
  </si>
  <si>
    <t>ADU049L08AB10AA2814000A02AC100CD00C</t>
  </si>
  <si>
    <t>ADU062R32AB10AA4321000001AD500CD00C</t>
  </si>
  <si>
    <t>ADU049R08AB10AA2824000002AA100CD00C</t>
  </si>
  <si>
    <t>ADU062R08AB10AA4324000A02AC1000000C</t>
  </si>
  <si>
    <t>ADU041L05AD30AB3722000001AC1000000C</t>
  </si>
  <si>
    <t>ADU080R05AC30AJ2814AR000100200CD00C</t>
  </si>
  <si>
    <t>ADU041R05AF10AC280000000200200CD00C</t>
  </si>
  <si>
    <t>ADU049R08AB10AH4314AA0001AA100CD00C</t>
  </si>
  <si>
    <t>ADU062R32AA10AA4314000001005000000C</t>
  </si>
  <si>
    <t>ADU049L05AD34AB2814000A0200200CD00C</t>
  </si>
  <si>
    <t>ADU080R08AD34AB2814000002AC200CD00C</t>
  </si>
  <si>
    <t>ADU041R02AA10AC430000000100100CD00C</t>
  </si>
  <si>
    <t>ADU062L08AB10AC190000000100100CD00C</t>
  </si>
  <si>
    <t>ADU041L05AF10AA2814000001AA100CD00C</t>
  </si>
  <si>
    <t>ADU080R32AD34AB2824000001AE500CD00C</t>
  </si>
  <si>
    <t>ADU062R08AB10AA323600000100100CD00C</t>
  </si>
  <si>
    <t>ADU062R32AB10AA3521000001AD500CD00C</t>
  </si>
  <si>
    <t>ADU049R05AD30AB431400000200200CD00C</t>
  </si>
  <si>
    <t>ADU062R08AD30AB431400000200200CD00C</t>
  </si>
  <si>
    <t>ADU049R05AA40AB282400000100200CD00C</t>
  </si>
  <si>
    <t>ADU080R32AB30AA2814000002AE5BJCD00C</t>
  </si>
  <si>
    <t>ADU062L08AC30AB2214000002002000A00C</t>
  </si>
  <si>
    <t>ADU041R02AB30AH4321AB000100100CD00C</t>
  </si>
  <si>
    <t>ADU080R05AC30AB281400000100200CD00C</t>
  </si>
  <si>
    <t>ADU049R02AD30AB432000000200100CD00C</t>
  </si>
  <si>
    <t>ADU080L32AB10AA2714000002AE500CD00C</t>
  </si>
  <si>
    <t>ADU049L08AB10AC2800000001AC200CD00C</t>
  </si>
  <si>
    <t>ADU062R33AA10AC430000000100500CD00C</t>
  </si>
  <si>
    <t>ADU049L08AB10AA4321000001AA2AACD00C</t>
  </si>
  <si>
    <t>ADU062R33AD30AB4314000A0100500CD00C</t>
  </si>
  <si>
    <t>ADU041R08AC32AB4314000A0100200CD00C</t>
  </si>
  <si>
    <t>ADU049R05AD30AB4314000002AA200CD00C</t>
  </si>
  <si>
    <t>ADU062R02AB10AH4314AM000100100CD00C</t>
  </si>
  <si>
    <t>ADU041R05AF10AA4314000001001000000C</t>
  </si>
  <si>
    <t>ADU062L08AB10AA4324000002AC100CD00C</t>
  </si>
  <si>
    <t>ADU062L05AB10AA432400000200100CD00C</t>
  </si>
  <si>
    <t>ADU080R32AB30AA2814000002AE500CD00C</t>
  </si>
  <si>
    <t>ADU041R05AB10AA4324000002003000000C</t>
  </si>
  <si>
    <t>ADU041R05AB10AA2810000A01AE100CD00C</t>
  </si>
  <si>
    <t>ADU062R32AD30AC3200000001AD500CD00C</t>
  </si>
  <si>
    <t>ADU041L02AD34AB4321000001AC1000000C</t>
  </si>
  <si>
    <t>ADU041R02AD34AB4321000001AC1000000C</t>
  </si>
  <si>
    <t>ADU062L08AD34AV4300000T0200100CD00C</t>
  </si>
  <si>
    <t>ADU049L08AD34AB282100000100100CD00C</t>
  </si>
  <si>
    <t>ADU041L08AD30AB2621000001001000B00C</t>
  </si>
  <si>
    <t>ADU049R01AB30AK2700AF0G0100100CD00C</t>
  </si>
  <si>
    <t>ADU080R08AB10AK2800AR000100200000JC</t>
  </si>
  <si>
    <t>ADU041L05AD30AJ2814AF000100100CD00C</t>
  </si>
  <si>
    <t>ADU049R02AD30AK2700AF0G0100100CD00C</t>
  </si>
  <si>
    <t>ADU049R32AD40AC2600000001AC500CD00C</t>
  </si>
  <si>
    <t>ADU049R02AB10AA012200000200100CD00C</t>
  </si>
  <si>
    <t>ADU041R02AF10AC280000000200200CD00C</t>
  </si>
  <si>
    <t>ADU041R01AF10AC280000000200200CD00C</t>
  </si>
  <si>
    <t>ADU041R02AF10AA2810000A0200200CD00C</t>
  </si>
  <si>
    <t>ADU041R01AE10AA2810000A0200200CD00C</t>
  </si>
  <si>
    <t>ADU041R02AF10AA2810000A02AA200CD00C</t>
  </si>
  <si>
    <t>ADU041R05AF10AA281000000200200CD00C</t>
  </si>
  <si>
    <t>ADU049R08AD30AC2700000002AD100CD00C</t>
  </si>
  <si>
    <t>ADU049R05AD30AB172100000200100CD00C</t>
  </si>
  <si>
    <t>ADU049R32AD30AB172100000200500CD00C</t>
  </si>
  <si>
    <t>ADU049R32AD30AB1721000002AC500CD00C</t>
  </si>
  <si>
    <t>ADU049R08AD30AC270000000200100CD00C</t>
  </si>
  <si>
    <t>ADU080R08AD34AB2132000A01AE4000B00C</t>
  </si>
  <si>
    <t>ADU041R33AD30AB281400000200500CD00C</t>
  </si>
  <si>
    <t>ADU062R33AD30AB281400000200500CD00C</t>
  </si>
  <si>
    <t>ADU049R05AA10AV4300000T0100100CD00C</t>
  </si>
  <si>
    <t>ADU049R02AD30AK2700AD000100100CD00C</t>
  </si>
  <si>
    <t>ADU080R33AD30AK2700AF0001AE500CD00C</t>
  </si>
  <si>
    <t>ADU080L08AD30AB2730000A01001000000C</t>
  </si>
  <si>
    <t>ADU062L05AD30AB2720000001AC100CD00C</t>
  </si>
  <si>
    <t>ADU080R02AD30AK2600AF000100100CD00C</t>
  </si>
  <si>
    <t>ADU062R08AD60AE342400000100300CD00C</t>
  </si>
  <si>
    <t>ADU049R08AA10AV3700000T02002000B00C</t>
  </si>
  <si>
    <t>ADU049L08AA10AV3700000T02002000B00C</t>
  </si>
  <si>
    <t>ADU062R08AC30AB1815000002002000A00C</t>
  </si>
  <si>
    <t>ADU041L08AD34AB4314000A01AD200CD00C</t>
  </si>
  <si>
    <t>ADU049L08AB10AA012100000200100CD00C</t>
  </si>
  <si>
    <t>ADU062R08AA10AA3622000001001000B00C</t>
  </si>
  <si>
    <t>ADU049R05AC30AP252500000100100CD00C</t>
  </si>
  <si>
    <t>ADU049R08AD30AB4321000A02AE1000B00C</t>
  </si>
  <si>
    <t>ADU062L05AD30AB282500000100100CD00C</t>
  </si>
  <si>
    <t>ADU041R08AD30AJ3721AB0A0ZAA200CD00C</t>
  </si>
  <si>
    <t>ADU041L05AB10AC4300000002AC100CD00C</t>
  </si>
  <si>
    <t>ADU049L05AB10AC4300000002AC100CD00C</t>
  </si>
  <si>
    <t>ADU041L05AD30AB372200000100200CD00C</t>
  </si>
  <si>
    <t>ADU041R01AE10AA2814000A0100100CD00C</t>
  </si>
  <si>
    <t>ADU041R01AE10AA2814000A0200100CD00C</t>
  </si>
  <si>
    <t>ADU049L08AD30AB432000000100100CD00C</t>
  </si>
  <si>
    <t>ADU062R08AB30AB2730000001AC1000A00C</t>
  </si>
  <si>
    <t>ADU049R05AE10AA3735000007002000B00C</t>
  </si>
  <si>
    <t>ADU049L08AD30AB2820000001AC100CD00C</t>
  </si>
  <si>
    <t>ADU041L05AB30AB282000000100100CD00C</t>
  </si>
  <si>
    <t>SHAFT, DRIVE, INPUT 1.00DIA. W/KEY, 1.81 EXT</t>
  </si>
  <si>
    <t xml:space="preserve">COUPLER, 26/9 TOOTH  </t>
  </si>
  <si>
    <t xml:space="preserve">13T COUPLING 620  </t>
  </si>
  <si>
    <t xml:space="preserve">COUPLING 26/9, 620, 74CC </t>
  </si>
  <si>
    <t xml:space="preserve">COUPLING 26/15  </t>
  </si>
  <si>
    <t xml:space="preserve">COUPLING 26/14  </t>
  </si>
  <si>
    <t>PRESSURE AND FLOW COMP S/A</t>
  </si>
  <si>
    <t>ADU0000000000C12000000000000000B</t>
  </si>
  <si>
    <t>ADU049R08AD30AK2700AD0001AE100CD00C</t>
  </si>
  <si>
    <t>ADY098R06AB20AA433200000100100CD00B</t>
  </si>
  <si>
    <t>ADY098R06AB20AC430000000100100CD00B</t>
  </si>
  <si>
    <t>ADY098R06AB20AA4332000001AC100CD00B</t>
  </si>
  <si>
    <t>ADY098L05AB20AA433200000100100CD00B</t>
  </si>
  <si>
    <t>ADY098L06AB20AA433200000100100CD00B</t>
  </si>
  <si>
    <t>ADY098R06AB20AA4332000001AD100CD00B</t>
  </si>
  <si>
    <t>ADY098R05AD31AB433200000100100CD00B</t>
  </si>
  <si>
    <t>ADY098R05AD30AB433200000100100CD00B</t>
  </si>
  <si>
    <t>ADY098L06AD30AB433200000100100CD00B</t>
  </si>
  <si>
    <t>ADY098R06AB20AC4300000B0100100CD00B</t>
  </si>
  <si>
    <t>ADY098L06AB10AA3432000001AC100CD00B</t>
  </si>
  <si>
    <t>ADY074L06AF10AA4332000A02AG100CD00B</t>
  </si>
  <si>
    <t>ADY074R06AF20AA3432000001AE100CD00B</t>
  </si>
  <si>
    <t>ADY074R06AF11AA4315000002AG100CD00B</t>
  </si>
  <si>
    <t>ADY074L06AF10AA433200000100100CD00B</t>
  </si>
  <si>
    <t>ADY074L06AF10AC4300000001AG100CD00B</t>
  </si>
  <si>
    <t>ADY074R06AH30AC280000000100100CD00B</t>
  </si>
  <si>
    <t>ADY074L05AF10AA433200000200100CD00B</t>
  </si>
  <si>
    <t>ADY074R05AF10AA4332000002AC100CD00B</t>
  </si>
  <si>
    <t>ADY074R05AF11AC4300000002AG100CD00B</t>
  </si>
  <si>
    <t>ADY074L08AF10AA433200000100100CD00B</t>
  </si>
  <si>
    <t>ADY074R07AF10AA433200000100100CD00B</t>
  </si>
  <si>
    <t>ADY074R06AF10AA432800000100100CD00B</t>
  </si>
  <si>
    <t>ADY074R06AF11AA432800000100100CD00B</t>
  </si>
  <si>
    <t>ADY098R08AD30AB4332000002AE100CD00B</t>
  </si>
  <si>
    <t>ADY098R08AD30AB4332000001AC100CD00B</t>
  </si>
  <si>
    <t>ADY098R06AB10AA433200000100100CD00B</t>
  </si>
  <si>
    <t>ADY098L06AB10AA433200000100100CD00B</t>
  </si>
  <si>
    <t>ADY098R07AD30AB433200000100100CD00B</t>
  </si>
  <si>
    <t>ADY098R08AB20AA4332000005AE100CD00B</t>
  </si>
  <si>
    <t>ADY098R06AB20AA303200000500100CD00B</t>
  </si>
  <si>
    <t>ADY098L06AB10AA4332000002AE100CD00B</t>
  </si>
  <si>
    <t>ADY074L06AF10AA4332000002AE100CD00B</t>
  </si>
  <si>
    <t>ADY074R06AH30AB4332000002AG100CD00B</t>
  </si>
  <si>
    <t>ADY098R06AD30AB4332000002AG100CD00B</t>
  </si>
  <si>
    <t>ADY074R05AH30AB4332000002AG100CD00B</t>
  </si>
  <si>
    <t>ADY098R05AD30AB4332000002AG100CD00B</t>
  </si>
  <si>
    <t>ADY098L06AD30AA433200000200100CD00B</t>
  </si>
  <si>
    <t>ADY074L06AH30AA433200000200100CD00B</t>
  </si>
  <si>
    <t>ADY098R06AD10AA4332000001AE100CD00B</t>
  </si>
  <si>
    <t>ADY074R06AH10AA433200000100100CD00B</t>
  </si>
  <si>
    <t>ADY074R06AF11AA3415000001AC100CD00B</t>
  </si>
  <si>
    <t>ADY074R06AH30AB3015000001001000B00B</t>
  </si>
  <si>
    <t>ADY098R05AB10AK2600AF000100100CD00B</t>
  </si>
  <si>
    <t>ADY074L05AF10AK1200AB0001AA100CD00B</t>
  </si>
  <si>
    <t>ADY074R05AH30AB242000000200300CD00B</t>
  </si>
  <si>
    <t>ADY098R05AD30AB242000000200300CD00B</t>
  </si>
  <si>
    <t>ADY074R06AF10AH2614AB0002AG1000B00B</t>
  </si>
  <si>
    <t>ADY098R08AE10AA4320000A01AF1000B00B</t>
  </si>
  <si>
    <t>HMF035BCDR000A10000AA</t>
  </si>
  <si>
    <t>HMF105CLMR000A1000CAA</t>
  </si>
  <si>
    <t>HMF105CLML000A1000CAA</t>
  </si>
  <si>
    <t>HMV280AFM10A500A1085000000000AA</t>
  </si>
  <si>
    <t>HMV165AMM90B0BEB110800000000CAA</t>
  </si>
  <si>
    <t>HPV105R0T2DB10CL1100GBBAE000000000AA</t>
  </si>
  <si>
    <t>HPV210R0S4MM2FEL240AQBN0000000000CAA</t>
  </si>
  <si>
    <t>HPV105R1T2MD2BHL540ALBM0000000000CAA</t>
  </si>
  <si>
    <t>HPV105R1T2MA00CL1400GBBAE00000000BAA</t>
  </si>
  <si>
    <t>HPV105R1T2MA00CL1400GBBAG00000000BAA</t>
  </si>
  <si>
    <t>HPV135L1T3MM2BCL0400GBBAE00000000CAA</t>
  </si>
  <si>
    <t>HPV135L1S3DN2DCG2400GBBAE00000000BAA</t>
  </si>
  <si>
    <t>HPV165R2T3MN2F0G440AA0000000000000AA</t>
  </si>
  <si>
    <t>HPR105R0T2MAAAAC0000001AA0000000A000AA</t>
  </si>
  <si>
    <t>HPR210R0S4MAAEAB0000001AA0000000A000AA</t>
  </si>
  <si>
    <t>HPR210R0S4MD00AC0850101AA0000000C000AA</t>
  </si>
  <si>
    <t>HPR165L2S3MAAAAC0000001AA0000000A00AAA</t>
  </si>
  <si>
    <t>HPR280R0S4MAACAC0000001AA0000000A00CAA</t>
  </si>
  <si>
    <t>HPR210R0T3MD00AC0650101AA0000000S00CAA</t>
  </si>
  <si>
    <t>HPR075R0S1MAAAAC0000000AE0000000A000AA</t>
  </si>
  <si>
    <t>MC4245AB02AB0200000000000AA00A</t>
  </si>
  <si>
    <t>MC4395AC04AB0200000000000AB00A</t>
  </si>
  <si>
    <t>MC4160AD04AB0200000000000AB00A</t>
  </si>
  <si>
    <t>MC4310AD04AB0200000000000AB00A</t>
  </si>
  <si>
    <t>MC4395AD04AB0200000000000AB00A</t>
  </si>
  <si>
    <t>MC4495AD04AB0200000000000AB00A</t>
  </si>
  <si>
    <t>MC4205AD04AB0200000000000AB00A</t>
  </si>
  <si>
    <t>MC4245AD04AB0200000000000AB00A</t>
  </si>
  <si>
    <t>MC4160AB02AB0200000000000AA00A</t>
  </si>
  <si>
    <t>MC4205AB02AB0200000000000AA00A</t>
  </si>
  <si>
    <t>MC4310AB02AB0200000000000AA00A</t>
  </si>
  <si>
    <t>MC4395AB02AB0200000000000AA00A</t>
  </si>
  <si>
    <t>MC4495AB02AB0200000000000AA00A</t>
  </si>
  <si>
    <t>MC4160AB04AB02000000000000000A</t>
  </si>
  <si>
    <t>MC4205AB04AB02000000000000000A</t>
  </si>
  <si>
    <t>MC4245AB04AB02000000000000000A</t>
  </si>
  <si>
    <t>MC4310AB04AB02000000000000000A</t>
  </si>
  <si>
    <t>MC4495AA00AC0300000000000AB00A</t>
  </si>
  <si>
    <t>MC4160AA00AC0300000000000AB00A</t>
  </si>
  <si>
    <t>MC4205AA00AC0300000000000AB00A</t>
  </si>
  <si>
    <t>MC4245AA00AC0300000000000AB00A</t>
  </si>
  <si>
    <t>MC4310AA00AC0300000000000AB00A</t>
  </si>
  <si>
    <t>MC4395AA00AC0300000000000AB00A</t>
  </si>
  <si>
    <t>MC2080AC16AS0200010000000ABAAB</t>
  </si>
  <si>
    <t>MC2100AC16AS0200010000000ABAAB</t>
  </si>
  <si>
    <t>MC2130AC16AS0200010000000ABAAB</t>
  </si>
  <si>
    <t>MC2160AC16AS0200010000000ABAAB</t>
  </si>
  <si>
    <t>MC2195AC16AS0200010000000ABAAB</t>
  </si>
  <si>
    <t>MC2245AC16AS0200010000000ABAAB</t>
  </si>
  <si>
    <t>MC2305AC16AS0200010000000ABAAB</t>
  </si>
  <si>
    <t>MC2395AC16AS0200010000000ABAAB</t>
  </si>
  <si>
    <t>MC2490AC16AS0200010000000ABAAB</t>
  </si>
  <si>
    <t>MC2080AH16AS0200010000000ABAAB</t>
  </si>
  <si>
    <t>MC2100AH16AS0200010000000ABAAB</t>
  </si>
  <si>
    <t>MC2130AH16AS0200010000000ABAAB</t>
  </si>
  <si>
    <t>MC2160AH16AS0200010000000ABAAB</t>
  </si>
  <si>
    <t>MC2195AH16AS0200010000000ABAAB</t>
  </si>
  <si>
    <t>MC2245AH16AS0200010000000ABAAB</t>
  </si>
  <si>
    <t>MC2305AH16AS0200010000000ABAAB</t>
  </si>
  <si>
    <t>MC2395AH16AS0200010000000ABAAB</t>
  </si>
  <si>
    <t>MC2490AH16AS0200010000000ABAAB</t>
  </si>
  <si>
    <t>MC2080AH99AS0200010000000ABAAB</t>
  </si>
  <si>
    <t>MC2100AH99AS0200010000000ABAAB</t>
  </si>
  <si>
    <t>MC2130AH99AS0200010000000ABAAB</t>
  </si>
  <si>
    <t>MC2160AH99AS0200010000000ABAAB</t>
  </si>
  <si>
    <t>MC2195AH99AS0200010000000ABAAB</t>
  </si>
  <si>
    <t>MC2245AH99AS0200010000000ABAAB</t>
  </si>
  <si>
    <t>MC2305AH99AS0200010000000ABAAB</t>
  </si>
  <si>
    <t>MC2395AH99AS0200010000000ABAAB</t>
  </si>
  <si>
    <t>MC2490AH99AS0200010000000ABAAB</t>
  </si>
  <si>
    <t>MC2080AC04AA0100010000000ABAAB</t>
  </si>
  <si>
    <t>MC2100AC04AA0100010000000ABAAB</t>
  </si>
  <si>
    <t>MC2130AC04AA0100010000000ABAAB</t>
  </si>
  <si>
    <t>MC2160AC04AA0100010000000ABAAB</t>
  </si>
  <si>
    <t>MC2195AC04AA0100010000000ABAAB</t>
  </si>
  <si>
    <t>MC2245AC04AA0100010000000ABAAB</t>
  </si>
  <si>
    <t>MC2305AC04AA0100010000000ABAAB</t>
  </si>
  <si>
    <t>MC2395AC04AA0100010000000ABAAB</t>
  </si>
  <si>
    <t>MC2490AC04AA0100010000000ABAAB</t>
  </si>
  <si>
    <t>MC2080AH16AG0200010000000ABAAB</t>
  </si>
  <si>
    <t>MC2100AH16AG0200010000000ABAAB</t>
  </si>
  <si>
    <t>MC2130AH16AG0200010000000ABAAB</t>
  </si>
  <si>
    <t>MC2160AH16AG0200010000000ABAAB</t>
  </si>
  <si>
    <t>MC2195AH16AG0200010000000ABAAB</t>
  </si>
  <si>
    <t>MC2245AH16AG0200010000000ABAAB</t>
  </si>
  <si>
    <t>MC2305AH16AG0200010000000ABAAB</t>
  </si>
  <si>
    <t>MC2395AH16AG0200010000000ABAAB</t>
  </si>
  <si>
    <t>MC2490AH16AG0200010000000ABAAB</t>
  </si>
  <si>
    <t>MC2160AC98AG0200013000000ABAAB</t>
  </si>
  <si>
    <t>MC2245AH16AG0200010000000AAAAB</t>
  </si>
  <si>
    <t>MC2160AH16AG0200013000000ABAAB</t>
  </si>
  <si>
    <t>MC2245AH16AG0200013000000ABAAB</t>
  </si>
  <si>
    <t>MC2305AH16AG0200013000000ABAAB</t>
  </si>
  <si>
    <t>MC2080AH16AG0200013000000ABAAB</t>
  </si>
  <si>
    <t>MC2100AH16AG0200013000000ABAAB</t>
  </si>
  <si>
    <t>MC2130AH16AG0200013000000ABAAB</t>
  </si>
  <si>
    <t>MC2195AH16AG0200013000000ABAAB</t>
  </si>
  <si>
    <t>MC2395AH16AG0200013000000ABAAB</t>
  </si>
  <si>
    <t>MC2490AH16AG0200013000000ABAAB</t>
  </si>
  <si>
    <t>MC2080AH16AS0200013AA0000ABAAB</t>
  </si>
  <si>
    <t>MC2100AH16AS0200013000000ABAAB</t>
  </si>
  <si>
    <t>MC2245AH16AS0200013000000ABAAB</t>
  </si>
  <si>
    <t>MC2080AH16AS0200013000000AAAAB</t>
  </si>
  <si>
    <t>MC2100AH16AS0200013000000AAAAB</t>
  </si>
  <si>
    <t>MC2130AH16AS0200013000000AAAAB</t>
  </si>
  <si>
    <t>MC2160AH16AS0200013000000AAAAB</t>
  </si>
  <si>
    <t>MC2195AH16AS0200013000000AAAAB</t>
  </si>
  <si>
    <t>MC2305AH16AS0200013000000AAAAB</t>
  </si>
  <si>
    <t>MC2130AH98AS0200013000000AAAAB</t>
  </si>
  <si>
    <t>MC2160AH98AS0200013000000AAAAB</t>
  </si>
  <si>
    <t>MC2160AC16AG0200013000000ABAAB</t>
  </si>
  <si>
    <t>MC2245AC16AG0200013000000ABAAB</t>
  </si>
  <si>
    <t>MC2305AC16AG0200013000000ABAAB</t>
  </si>
  <si>
    <t>MC2245AJ16AS0200013000000ABAAB</t>
  </si>
  <si>
    <t>MC2195AC98AS0200013000000ABAAB</t>
  </si>
  <si>
    <t>MC2100AC16AG0200010000000ABAAB</t>
  </si>
  <si>
    <t>MC2195AC16AG0200010000000ABAAB</t>
  </si>
  <si>
    <t>MC2245AH16AS0200013000000AAAAB</t>
  </si>
  <si>
    <t>MC2395AH16AS0200013000000AAAAB</t>
  </si>
  <si>
    <t>MC2490AH16AS0200013000000AAAAB</t>
  </si>
  <si>
    <t>MC2305AH02AG0200030000000ABAAB</t>
  </si>
  <si>
    <t>MC2305AH99AS0200013000300ABAAB</t>
  </si>
  <si>
    <t>MC2160AC98AG0200010000000ABAAB</t>
  </si>
  <si>
    <t>MC2395AH16AG0200010000300ABAAB</t>
  </si>
  <si>
    <t>MC2080AH16AS0200013000000ABAAB</t>
  </si>
  <si>
    <t>MC2130AH16AS0200013000000ABAAB</t>
  </si>
  <si>
    <t>MC2160AH16AS0200013000000ABAAB</t>
  </si>
  <si>
    <t>MC2195AH16AS0200013000000ABAAB</t>
  </si>
  <si>
    <t>MC2305AH16AS0200013000000ABAAB</t>
  </si>
  <si>
    <t>MC2395AH16AS0200013000000ABAAB</t>
  </si>
  <si>
    <t>MC2490AH16AS0200013000000ABAAB</t>
  </si>
  <si>
    <t>MC2130AH98AS0200013000000ABAAB</t>
  </si>
  <si>
    <t>MC2160AH98AS0200013000000ABAAB</t>
  </si>
  <si>
    <t>MC2160AY16AG0200013000000ABAAB</t>
  </si>
  <si>
    <t>MC2195AY16AG0200013000000ABAAB</t>
  </si>
  <si>
    <t>MC2245AY16AG0200013000000ABAAB</t>
  </si>
  <si>
    <t>MC2395AH16AG0200013000300ABAAB</t>
  </si>
  <si>
    <t>MC2160AJ16AG0200010000000ABAAB</t>
  </si>
  <si>
    <t>MC2305AJ16AG0200010000000ABAAB</t>
  </si>
  <si>
    <t>MC2395AJ16AG0200010000000ABAAB</t>
  </si>
  <si>
    <t>MC2305AY16AG0200013000000ABAAB</t>
  </si>
  <si>
    <t>MC2080AC98AG0200013000000ABAAB</t>
  </si>
  <si>
    <t>MC2130AC98AG0200013000000ABAAB</t>
  </si>
  <si>
    <t>MC2080AC98AS0200013000000ABAAB</t>
  </si>
  <si>
    <t>MC2100AC98AS0200013000000ABAAB</t>
  </si>
  <si>
    <t>MC2130AC98AS0200013000000ABAAB</t>
  </si>
  <si>
    <t>MC2160AC98AS0200013000000ABAAB</t>
  </si>
  <si>
    <t>MC2245AC98AS0200013000000ABAAB</t>
  </si>
  <si>
    <t>MC2305AC98AS0200013000000ABAAB</t>
  </si>
  <si>
    <t>MC2395AC98AS0200013000000ABAAB</t>
  </si>
  <si>
    <t>MC2490AC98AS0200013000000ABAAB</t>
  </si>
  <si>
    <t>MC2080AJ16AS0200010000000ABAAB</t>
  </si>
  <si>
    <t>MC2100AJ16AS0200010000000ABAAB</t>
  </si>
  <si>
    <t>MC2130AJ16AS0200010000000ABAAB</t>
  </si>
  <si>
    <t>MC2160AJ16AS0200010000000ABAAB</t>
  </si>
  <si>
    <t>MC2195AJ16AS0200010000000ABAAB</t>
  </si>
  <si>
    <t>MC2245AJ16AS0200010000000ABAAB</t>
  </si>
  <si>
    <t>MC2305AJ16AS0200010000000ABAAB</t>
  </si>
  <si>
    <t>MC2395AJ16AS0200010000000ABAAB</t>
  </si>
  <si>
    <t>MC2490AJ16AS0200010000000ABAAB</t>
  </si>
  <si>
    <t>MC2490AJ02AG0200013000000ABAAB</t>
  </si>
  <si>
    <t>MC2080AB03AA0100010000000ABAAB</t>
  </si>
  <si>
    <t>MC2100AB03AA0100010000000ABAAB</t>
  </si>
  <si>
    <t>MC2130AB03AA0100010000000ABAAB</t>
  </si>
  <si>
    <t>MC2160AB03AA0100010000000ABAAB</t>
  </si>
  <si>
    <t>MC2195AB03AA0100010000000ABAAB</t>
  </si>
  <si>
    <t>MC2245AB03AA0100010000000ABAAB</t>
  </si>
  <si>
    <t>MC2305AB03AA0100010000000ABAAB</t>
  </si>
  <si>
    <t>MC2395AB03AA0100010000000ABAAB</t>
  </si>
  <si>
    <t>MC2490AB03AA0100010000000ABAAB</t>
  </si>
  <si>
    <t>MC2080AB16AG0200010000000ABAAB</t>
  </si>
  <si>
    <t>MC2100AB16AG0200010000000ABAAB</t>
  </si>
  <si>
    <t>MC2130AB16AG0200010000000ABAAB</t>
  </si>
  <si>
    <t>MC2160AB16AG0200010000000ABAAB</t>
  </si>
  <si>
    <t>MC2195AB16AG0200010000000ABAAB</t>
  </si>
  <si>
    <t>MC2245AB16AG0200010000000ABAAB</t>
  </si>
  <si>
    <t>MC2305AB16AG0200010000000ABAAB</t>
  </si>
  <si>
    <t>MC2395AB16AG0200010000000ABAAB</t>
  </si>
  <si>
    <t>MC2490AB16AG0200010000000ABAAB</t>
  </si>
  <si>
    <t>MC2080AB02AG0200010000000ABAAB</t>
  </si>
  <si>
    <t>MC2395AB03AG0200013000000ABAAB</t>
  </si>
  <si>
    <t>MC2080AD00AG0200010000000ABAAB</t>
  </si>
  <si>
    <t>MC2100AD00AG0200010000000ABAAB</t>
  </si>
  <si>
    <t>MC2130AD00AG0200010000000ABAAB</t>
  </si>
  <si>
    <t>MC2160AD00AG0200010000000ABAAB</t>
  </si>
  <si>
    <t>MC2195AD00AG0200010000000ABAAB</t>
  </si>
  <si>
    <t>MC2245AD00AG0200010000000ABAAB</t>
  </si>
  <si>
    <t>MC2305AD00AG0200010000000ABAAB</t>
  </si>
  <si>
    <t>MC2395AD00AG0200010000000ABAAB</t>
  </si>
  <si>
    <t>MC2490AD00AG0200010000000ABAAB</t>
  </si>
  <si>
    <t>MCH053AA01AA110000A000B00B</t>
  </si>
  <si>
    <t>MCH063AA01AA110000A000B00B</t>
  </si>
  <si>
    <t>MCH080AA01AA110000A000B00B</t>
  </si>
  <si>
    <t>MCH100AA01AA110000A000B00B</t>
  </si>
  <si>
    <t>MCH160AA01AA110000A000B00B</t>
  </si>
  <si>
    <t>MCH200AA01AA110000A000B00B</t>
  </si>
  <si>
    <t>MCH245AA01AA110000A000B00B</t>
  </si>
  <si>
    <t>MCH315AA01AA110000A000B00B</t>
  </si>
  <si>
    <t>MCH390AA01AA110000A000B00B</t>
  </si>
  <si>
    <t>MCH125AA01AA110000A010B00B</t>
  </si>
  <si>
    <t>MCH053AA04AA110000A000B00B</t>
  </si>
  <si>
    <t>MCH080AA04AA110000A000B00B</t>
  </si>
  <si>
    <t>MCH100AA04AA110000A000B00B</t>
  </si>
  <si>
    <t>MCH125AA04AA110000A000B00B</t>
  </si>
  <si>
    <t>MCH160AA04AA110000A000B00B</t>
  </si>
  <si>
    <t>MCH315AA04AA110000A000B00B</t>
  </si>
  <si>
    <t>MCH485AA04AA110000A000B00B</t>
  </si>
  <si>
    <t>MCH053AA02AA110000A000B00B</t>
  </si>
  <si>
    <t>MCH080AA02AA110000A000B00B</t>
  </si>
  <si>
    <t>MCH100AA02AA110000A000B00B</t>
  </si>
  <si>
    <t>MCH125AA02AA110000A000B00B</t>
  </si>
  <si>
    <t>MCH160AA02AA110000A000B00B</t>
  </si>
  <si>
    <t>MCH200AA02AA110000A00B00B</t>
  </si>
  <si>
    <t>MCH245AA02AA110000A000B00B</t>
  </si>
  <si>
    <t>MCH315AA02AA110000A000B00B</t>
  </si>
  <si>
    <t>MCH390AA02AA110000A000B00B</t>
  </si>
  <si>
    <t>MCH485AA02AA110000A000B00B</t>
  </si>
  <si>
    <t>MCH125AA03AA110000A000B00B</t>
  </si>
  <si>
    <t>MCH390AA03AA110000A000B00B</t>
  </si>
  <si>
    <t>MCH245AA02AA110000A000C00B</t>
  </si>
  <si>
    <t>MCH100AA01AA110020A000B00B</t>
  </si>
  <si>
    <t>MCH125AA01AA110020A000B00B</t>
  </si>
  <si>
    <t>MCH160AA01AA110020A000B00B</t>
  </si>
  <si>
    <t>MCH200AA01AA110020A000B00B</t>
  </si>
  <si>
    <t>MCH245AA01AA110020A000B00B</t>
  </si>
  <si>
    <t>MCH315AA01AA110020A000B00B</t>
  </si>
  <si>
    <t>MCH390AA01AA110020A000B00B</t>
  </si>
  <si>
    <t>MCH485AA01AA110020A000B00B</t>
  </si>
  <si>
    <t>MCH053AA01AA110020A000C00B</t>
  </si>
  <si>
    <t>MCH080AA01AA110020A000C00B</t>
  </si>
  <si>
    <t>MCH125AA01AA110020A000C00B</t>
  </si>
  <si>
    <t>MCH160AA01AA110020A000C00B</t>
  </si>
  <si>
    <t>MCH053AA01AA110000A000C00B</t>
  </si>
  <si>
    <t>MCH063AA01AA110000A000C00B</t>
  </si>
  <si>
    <t>MCH080AA01AA110000A000C00B</t>
  </si>
  <si>
    <t>MCH100AA01AA110000A000C00B</t>
  </si>
  <si>
    <t>MCH125AA01AA110000A000C00B</t>
  </si>
  <si>
    <t>MCH160AA01AA110000A000C00B</t>
  </si>
  <si>
    <t>MCH200AA01AA110000A000C00B</t>
  </si>
  <si>
    <t>MCH315AA01AA110000A000C00B</t>
  </si>
  <si>
    <t>MCH390AA01AA110000A000C00B</t>
  </si>
  <si>
    <t>MCH485AA01AA110000A000C00B</t>
  </si>
  <si>
    <t>MCH080AC03AA110000A000B00B</t>
  </si>
  <si>
    <t>MCH125AA01AA110020A000D00B</t>
  </si>
  <si>
    <t>MCH315AA04AA110020A000C00B</t>
  </si>
  <si>
    <t>MCH160AA02AA010020A000B00B</t>
  </si>
  <si>
    <t>MCH200AB01AA010010A000B00B</t>
  </si>
  <si>
    <t>MCH053AA02AA110020A000B00B</t>
  </si>
  <si>
    <t>MCH063AA02AA110020A000B00B</t>
  </si>
  <si>
    <t>MCH080AA02AA110020A000B00B</t>
  </si>
  <si>
    <t>MCH100AA02AA110020A000B00B</t>
  </si>
  <si>
    <t>MCH160AA02AA110020A000B00B</t>
  </si>
  <si>
    <t>MCH200AA02AA110020A000B00B</t>
  </si>
  <si>
    <t>MCH245AA02AA110020A000B00B</t>
  </si>
  <si>
    <t>MCH315AA02AA110020A000B00B</t>
  </si>
  <si>
    <t>MCH485AA02AA110020A000B00B</t>
  </si>
  <si>
    <t>MCH125AA02AA110020A000B00B</t>
  </si>
  <si>
    <t>MCH100AA01AA110020A000C00B</t>
  </si>
  <si>
    <t>MCH200AA01AA110020A000C00B</t>
  </si>
  <si>
    <t>MCH245AA01AA110020A000C00B</t>
  </si>
  <si>
    <t>MCH315AA01AA110020A000C00B</t>
  </si>
  <si>
    <t>MCH390AA01AA110020A000C00B</t>
  </si>
  <si>
    <t>MCH053AA02AA110020A000C00B</t>
  </si>
  <si>
    <t>MCH063AA02AA110020A000C00B</t>
  </si>
  <si>
    <t>MCH080AA02AA110020A000C00B</t>
  </si>
  <si>
    <t>MCH100AA02AA110020A000C00B</t>
  </si>
  <si>
    <t>MCH125AA02AA110020A000C00B</t>
  </si>
  <si>
    <t>MCH160AA02AA110020A000C00B</t>
  </si>
  <si>
    <t>MCH200AA02AA110020A000C00B</t>
  </si>
  <si>
    <t>MCH245AA02AA110020A000C00B</t>
  </si>
  <si>
    <t>MCH315AA02AA110020A000C00B</t>
  </si>
  <si>
    <t>MCH390AA02AA110020A000C00B</t>
  </si>
  <si>
    <t>MCH485AA02AA110020A000C00B</t>
  </si>
  <si>
    <t>MCH080AA04AA110020A000C00B</t>
  </si>
  <si>
    <t>MCH125AA04AA110020A000C00B</t>
  </si>
  <si>
    <t>MCH080AA04AA110020A000B00B</t>
  </si>
  <si>
    <t>MCH125AA04AA110020A000B00B</t>
  </si>
  <si>
    <t>MCH080AE03AA110020A000C00B</t>
  </si>
  <si>
    <t>MCH200AE04AA110020A000C00B</t>
  </si>
  <si>
    <t>MCS050AA01AA010000A000B00B</t>
  </si>
  <si>
    <t>MCS080AA01AA010000A000B00B</t>
  </si>
  <si>
    <t>MCS100AA01AA010000A000B00B</t>
  </si>
  <si>
    <t>MCS130AA01AA010000A000B00B</t>
  </si>
  <si>
    <t>MCS160AA01AA010000A000B00B</t>
  </si>
  <si>
    <t>MCS195AA01AA010000A000B00B</t>
  </si>
  <si>
    <t>MCS245AA01AA010000A000B00B</t>
  </si>
  <si>
    <t>MCS305AA01AA010000A000B00B</t>
  </si>
  <si>
    <t>MCS395AA01AA010000A000B00B</t>
  </si>
  <si>
    <t>MCS050AA02AA010000A000B00B</t>
  </si>
  <si>
    <t>MCS080AA02AA010000A000B00B</t>
  </si>
  <si>
    <t>MCS100AA02AA010000A000B00B</t>
  </si>
  <si>
    <t>MCS130AA02AA010000A000B00B</t>
  </si>
  <si>
    <t>MCS160AA02AA010000A000B00B</t>
  </si>
  <si>
    <t>MCS195AA02AA010000A000B00B</t>
  </si>
  <si>
    <t>MCS245AA02AA010000A000B00B</t>
  </si>
  <si>
    <t>MCS305AA02AA010000A000B00B</t>
  </si>
  <si>
    <t>MCS395AA02AA010000A000B00B</t>
  </si>
  <si>
    <t>MCS050AA03AA010000A000B00B</t>
  </si>
  <si>
    <t>MCS080AA03AA010000A000B00B</t>
  </si>
  <si>
    <t>MCS100AA03AA010000A000B00B</t>
  </si>
  <si>
    <t>MCS130AA03AA010000A000B00B</t>
  </si>
  <si>
    <t>MCS195AA03AA010000A000B00B</t>
  </si>
  <si>
    <t>MCS305AA03AA010000A000B00B</t>
  </si>
  <si>
    <t>MCS395AA03AA010000A000B00B</t>
  </si>
  <si>
    <t>MCS100AA04AA010000A000B00B</t>
  </si>
  <si>
    <t>MCS130AA04AA010000A000B00B</t>
  </si>
  <si>
    <t>MCS160AA04AA010000A000B00B</t>
  </si>
  <si>
    <t>MCS195AA04AA010000A000B00B</t>
  </si>
  <si>
    <t>MCS245AA04AA010000A000B00B</t>
  </si>
  <si>
    <t>MCS305AA04AA010000A000B00B</t>
  </si>
  <si>
    <t>MCS395AA04AA010000A000B00B</t>
  </si>
  <si>
    <t>MCS050AA02AA110020A000B00B</t>
  </si>
  <si>
    <t>MCS080AA02AA110020A000B00B</t>
  </si>
  <si>
    <t>MCS100AA02AA110020A000B00B</t>
  </si>
  <si>
    <t>MCS130AA02AA110020A000B00B</t>
  </si>
  <si>
    <t>MCS160AA02AA110020A000B00B</t>
  </si>
  <si>
    <t>MCS195AA02AA110020A000B00B</t>
  </si>
  <si>
    <t>MCS245AA02AA110020A000B00B</t>
  </si>
  <si>
    <t>MCS305AA02AA110020A000B00B</t>
  </si>
  <si>
    <t>MCS395AA02AA110020A000B00B</t>
  </si>
  <si>
    <t>MCS160AA01AA110020A000C00B</t>
  </si>
  <si>
    <t>MCS395AD03AE010000A000B00B</t>
  </si>
  <si>
    <t>MCS050AA01AA110000A000B00B</t>
  </si>
  <si>
    <t>MCS100AA01AA110000A000B00B</t>
  </si>
  <si>
    <t>MCS130AA01AA110000A000B00B</t>
  </si>
  <si>
    <t>MCS160AA01AA110000A000B00B</t>
  </si>
  <si>
    <t>MCS195AA01AA110000A000B00B</t>
  </si>
  <si>
    <t>MCS050AA02AA110020A000C00B</t>
  </si>
  <si>
    <t>MCS080AA02AA110020A000C00B</t>
  </si>
  <si>
    <t>MCS100AA02AA110020A000C00B</t>
  </si>
  <si>
    <t>MCS130AA02AA110020A000C00B</t>
  </si>
  <si>
    <t>MCS160AA02AA110020A000C00B</t>
  </si>
  <si>
    <t>MCS195AA02AA110020A000C00B</t>
  </si>
  <si>
    <t>MCS245AA02AA110020A000C00B</t>
  </si>
  <si>
    <t>MCS305AA02AA110020A000C00B</t>
  </si>
  <si>
    <t>MCS395AA02AA110020A000C00B</t>
  </si>
  <si>
    <t>MCS050AA02AA110020A000D00B</t>
  </si>
  <si>
    <t>MCS080AA02AA110020A000D00B</t>
  </si>
  <si>
    <t>MCS100AA02AA110020A000D00B</t>
  </si>
  <si>
    <t>MCS160AA03AA110020A000B00B</t>
  </si>
  <si>
    <t>MCS050AA01AA110020A000C00B</t>
  </si>
  <si>
    <t>MCS080AA01AA110020A000C00B</t>
  </si>
  <si>
    <t>MCS100AA01AA110020A000C00B</t>
  </si>
  <si>
    <t>MCS130AA01AA110020A000C00B</t>
  </si>
  <si>
    <t>MCS195AA01AA110020A000C00B</t>
  </si>
  <si>
    <t>MCS245AA01AA110020A000C00B</t>
  </si>
  <si>
    <t>MCS305AA01AA110020A000C00B</t>
  </si>
  <si>
    <t>MCS395AA01AA110020A000C00B</t>
  </si>
  <si>
    <t>MCS195AE01AA110020A000C00B</t>
  </si>
  <si>
    <t>MCS130AA04AA110020A000C00B</t>
  </si>
  <si>
    <t>MCS100AA02AA110020A001C00B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</si>
</sst>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1" xfId="1" applyNumberFormat="1" applyFont="1" applyBorder="1"/>
    <xf numFmtId="0" fontId="0" fillId="0" borderId="2" xfId="0" applyFont="1" applyBorder="1"/>
    <xf numFmtId="0" fontId="1" fillId="2" borderId="3" xfId="0" applyNumberFormat="1" applyFont="1" applyFill="1" applyBorder="1"/>
    <xf numFmtId="0" fontId="1" fillId="2" borderId="4" xfId="0" applyFont="1" applyFill="1" applyBorder="1"/>
    <xf numFmtId="0" fontId="2" fillId="3" borderId="3" xfId="1" applyNumberFormat="1" applyFont="1" applyFill="1" applyBorder="1"/>
    <xf numFmtId="0" fontId="0" fillId="3" borderId="4" xfId="0" applyFont="1" applyFill="1" applyBorder="1"/>
    <xf numFmtId="0" fontId="2" fillId="0" borderId="3" xfId="1" applyNumberFormat="1" applyFont="1" applyBorder="1"/>
    <xf numFmtId="0" fontId="0" fillId="0" borderId="4" xfId="0" applyFont="1" applyBorder="1"/>
    <xf numFmtId="0" fontId="2" fillId="3" borderId="1" xfId="1" applyNumberFormat="1" applyFont="1" applyFill="1" applyBorder="1"/>
    <xf numFmtId="0" fontId="0" fillId="3" borderId="2" xfId="0" applyFont="1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416"/>
  <sheetViews>
    <sheetView tabSelected="1" workbookViewId="0">
      <selection activeCell="C10" sqref="C10"/>
    </sheetView>
  </sheetViews>
  <sheetFormatPr baseColWidth="10" defaultRowHeight="14.4" x14ac:dyDescent="0.3"/>
  <cols>
    <col min="1" max="1" width="19.33203125" bestFit="1" customWidth="1"/>
    <col min="2" max="2" width="51.6640625" customWidth="1"/>
  </cols>
  <sheetData>
    <row r="1" spans="1:2" x14ac:dyDescent="0.3">
      <c r="A1" s="3" t="s">
        <v>1</v>
      </c>
      <c r="B1" s="4" t="s">
        <v>2</v>
      </c>
    </row>
    <row r="2" spans="1:2" x14ac:dyDescent="0.3">
      <c r="A2" s="5" t="str">
        <f>HYPERLINK("http://www.eatonpowersource.com/products/configure/screw-in%20cartridge%20valves/details/02-112713","02-112713")</f>
        <v>02-112713</v>
      </c>
      <c r="B2" s="6" t="s">
        <v>3</v>
      </c>
    </row>
    <row r="3" spans="1:2" x14ac:dyDescent="0.3">
      <c r="A3" s="7" t="str">
        <f>HYPERLINK("http://www.eatonpowersource.com/products/configure/screw-in%20cartridge%20valves/details/02-112750","02-112750")</f>
        <v>02-112750</v>
      </c>
      <c r="B3" s="8" t="s">
        <v>4</v>
      </c>
    </row>
    <row r="4" spans="1:2" x14ac:dyDescent="0.3">
      <c r="A4" s="5" t="str">
        <f>HYPERLINK("http://www.eatonpowersource.com/products/configure/screw-in%20cartridge%20valves/details/02-112751","02-112751")</f>
        <v>02-112751</v>
      </c>
      <c r="B4" s="6" t="s">
        <v>5</v>
      </c>
    </row>
    <row r="5" spans="1:2" x14ac:dyDescent="0.3">
      <c r="A5" s="7" t="str">
        <f>HYPERLINK("http://www.eatonpowersource.com/products/configure/screw-in%20cartridge%20valves/details/02-112831","02-112831")</f>
        <v>02-112831</v>
      </c>
      <c r="B5" s="8" t="s">
        <v>6</v>
      </c>
    </row>
    <row r="6" spans="1:2" x14ac:dyDescent="0.3">
      <c r="A6" s="5" t="str">
        <f>HYPERLINK("http://www.eatonpowersource.com/products/configure/screw-in%20cartridge%20valves/details/02-112964","02-112964")</f>
        <v>02-112964</v>
      </c>
      <c r="B6" s="6" t="s">
        <v>7</v>
      </c>
    </row>
    <row r="7" spans="1:2" x14ac:dyDescent="0.3">
      <c r="A7" s="7" t="str">
        <f>HYPERLINK("http://www.eatonpowersource.com/products/configure/screw-in%20cartridge%20valves/details/02-112992","02-112992")</f>
        <v>02-112992</v>
      </c>
      <c r="B7" s="8" t="s">
        <v>8</v>
      </c>
    </row>
    <row r="8" spans="1:2" x14ac:dyDescent="0.3">
      <c r="A8" s="5" t="str">
        <f>HYPERLINK("http://www.eatonpowersource.com/products/configure/screw-in%20cartridge%20valves/details/02-113081","02-113081")</f>
        <v>02-113081</v>
      </c>
      <c r="B8" s="6" t="s">
        <v>9</v>
      </c>
    </row>
    <row r="9" spans="1:2" x14ac:dyDescent="0.3">
      <c r="A9" s="7" t="str">
        <f>HYPERLINK("http://www.eatonpowersource.com/products/configure/screw-in%20cartridge%20valves/details/02-113125","02-113125")</f>
        <v>02-113125</v>
      </c>
      <c r="B9" s="8" t="s">
        <v>0</v>
      </c>
    </row>
    <row r="10" spans="1:2" x14ac:dyDescent="0.3">
      <c r="A10" s="5" t="str">
        <f>HYPERLINK("http://www.eatonpowersource.com/products/configure/screw-in%20cartridge%20valves/details/02-113152","02-113152")</f>
        <v>02-113152</v>
      </c>
      <c r="B10" s="6" t="s">
        <v>10</v>
      </c>
    </row>
    <row r="11" spans="1:2" x14ac:dyDescent="0.3">
      <c r="A11" s="7" t="str">
        <f>HYPERLINK("http://www.eatonpowersource.com/products/configure/screw-in%20cartridge%20valves/details/02-113155","02-113155")</f>
        <v>02-113155</v>
      </c>
      <c r="B11" s="8" t="s">
        <v>11</v>
      </c>
    </row>
    <row r="12" spans="1:2" x14ac:dyDescent="0.3">
      <c r="A12" s="5" t="str">
        <f>HYPERLINK("http://www.eatonpowersource.com/products/configure/screw-in%20cartridge%20valves/details/02-113159","02-113159")</f>
        <v>02-113159</v>
      </c>
      <c r="B12" s="6" t="s">
        <v>12</v>
      </c>
    </row>
    <row r="13" spans="1:2" x14ac:dyDescent="0.3">
      <c r="A13" s="7" t="str">
        <f>HYPERLINK("http://www.eatonpowersource.com/products/configure/screw-in%20cartridge%20valves/details/02-151006","02-151006")</f>
        <v>02-151006</v>
      </c>
      <c r="B13" s="8" t="s">
        <v>13</v>
      </c>
    </row>
    <row r="14" spans="1:2" x14ac:dyDescent="0.3">
      <c r="A14" s="5" t="str">
        <f>HYPERLINK("http://www.eatonpowersource.com/products/configure/screw-in%20cartridge%20valves/details/02-151021","02-151021")</f>
        <v>02-151021</v>
      </c>
      <c r="B14" s="6" t="s">
        <v>14</v>
      </c>
    </row>
    <row r="15" spans="1:2" x14ac:dyDescent="0.3">
      <c r="A15" s="7" t="str">
        <f>HYPERLINK("http://www.eatonpowersource.com/products/configure/screw-in%20cartridge%20valves/details/02-153254","02-153254")</f>
        <v>02-153254</v>
      </c>
      <c r="B15" s="8" t="s">
        <v>15</v>
      </c>
    </row>
    <row r="16" spans="1:2" x14ac:dyDescent="0.3">
      <c r="A16" s="5" t="str">
        <f>HYPERLINK("http://www.eatonpowersource.com/products/configure/screw-in%20cartridge%20valves/details/02-153255","02-153255")</f>
        <v>02-153255</v>
      </c>
      <c r="B16" s="6" t="s">
        <v>16</v>
      </c>
    </row>
    <row r="17" spans="1:2" x14ac:dyDescent="0.3">
      <c r="A17" s="7" t="str">
        <f>HYPERLINK("http://www.eatonpowersource.com/products/configure/screw-in%20cartridge%20valves/details/02-153256","02-153256")</f>
        <v>02-153256</v>
      </c>
      <c r="B17" s="8" t="s">
        <v>17</v>
      </c>
    </row>
    <row r="18" spans="1:2" x14ac:dyDescent="0.3">
      <c r="A18" s="5" t="str">
        <f>HYPERLINK("http://www.eatonpowersource.com/products/configure/screw-in%20cartridge%20valves/details/02-153263","02-153263")</f>
        <v>02-153263</v>
      </c>
      <c r="B18" s="6" t="s">
        <v>18</v>
      </c>
    </row>
    <row r="19" spans="1:2" x14ac:dyDescent="0.3">
      <c r="A19" s="7" t="str">
        <f>HYPERLINK("http://www.eatonpowersource.com/products/configure/screw-in%20cartridge%20valves/details/02-153298","02-153298")</f>
        <v>02-153298</v>
      </c>
      <c r="B19" s="8" t="s">
        <v>19</v>
      </c>
    </row>
    <row r="20" spans="1:2" x14ac:dyDescent="0.3">
      <c r="A20" s="5" t="str">
        <f>HYPERLINK("http://www.eatonpowersource.com/products/configure/screw-in%20cartridge%20valves/details/02-160786","02-160786")</f>
        <v>02-160786</v>
      </c>
      <c r="B20" s="6" t="s">
        <v>20</v>
      </c>
    </row>
    <row r="21" spans="1:2" x14ac:dyDescent="0.3">
      <c r="A21" s="7" t="str">
        <f>HYPERLINK("http://www.eatonpowersource.com/products/configure/screw-in%20cartridge%20valves/details/02-161007","02-161007")</f>
        <v>02-161007</v>
      </c>
      <c r="B21" s="8" t="s">
        <v>21</v>
      </c>
    </row>
    <row r="22" spans="1:2" x14ac:dyDescent="0.3">
      <c r="A22" s="5" t="str">
        <f>HYPERLINK("http://www.eatonpowersource.com/products/configure/screw-in%20cartridge%20valves/details/02-161022","02-161022")</f>
        <v>02-161022</v>
      </c>
      <c r="B22" s="6" t="s">
        <v>22</v>
      </c>
    </row>
    <row r="23" spans="1:2" x14ac:dyDescent="0.3">
      <c r="A23" s="7" t="str">
        <f>HYPERLINK("http://www.eatonpowersource.com/products/configure/screw-in%20cartridge%20valves/details/02-161044","02-161044")</f>
        <v>02-161044</v>
      </c>
      <c r="B23" s="8" t="s">
        <v>23</v>
      </c>
    </row>
    <row r="24" spans="1:2" x14ac:dyDescent="0.3">
      <c r="A24" s="5" t="str">
        <f>HYPERLINK("http://www.eatonpowersource.com/products/configure/screw-in%20cartridge%20valves/details/02-161369","02-161369")</f>
        <v>02-161369</v>
      </c>
      <c r="B24" s="6" t="s">
        <v>24</v>
      </c>
    </row>
    <row r="25" spans="1:2" x14ac:dyDescent="0.3">
      <c r="A25" s="7" t="str">
        <f>HYPERLINK("http://www.eatonpowersource.com/products/configure/screw-in%20cartridge%20valves/details/02-161420","02-161420")</f>
        <v>02-161420</v>
      </c>
      <c r="B25" s="8" t="s">
        <v>25</v>
      </c>
    </row>
    <row r="26" spans="1:2" x14ac:dyDescent="0.3">
      <c r="A26" s="5" t="str">
        <f>HYPERLINK("http://www.eatonpowersource.com/products/configure/screw-in%20cartridge%20valves/details/02-161429","02-161429")</f>
        <v>02-161429</v>
      </c>
      <c r="B26" s="6" t="s">
        <v>26</v>
      </c>
    </row>
    <row r="27" spans="1:2" x14ac:dyDescent="0.3">
      <c r="A27" s="7" t="str">
        <f>HYPERLINK("http://www.eatonpowersource.com/products/configure/screw-in%20cartridge%20valves/details/02-161431","02-161431")</f>
        <v>02-161431</v>
      </c>
      <c r="B27" s="8" t="s">
        <v>27</v>
      </c>
    </row>
    <row r="28" spans="1:2" x14ac:dyDescent="0.3">
      <c r="A28" s="5" t="str">
        <f>HYPERLINK("http://www.eatonpowersource.com/products/configure/screw-in%20cartridge%20valves/details/02-161452","02-161452")</f>
        <v>02-161452</v>
      </c>
      <c r="B28" s="6" t="s">
        <v>28</v>
      </c>
    </row>
    <row r="29" spans="1:2" x14ac:dyDescent="0.3">
      <c r="A29" s="7" t="str">
        <f>HYPERLINK("http://www.eatonpowersource.com/products/configure/screw-in%20cartridge%20valves/details/02-161467","02-161467")</f>
        <v>02-161467</v>
      </c>
      <c r="B29" s="8" t="s">
        <v>29</v>
      </c>
    </row>
    <row r="30" spans="1:2" x14ac:dyDescent="0.3">
      <c r="A30" s="5" t="str">
        <f>HYPERLINK("http://www.eatonpowersource.com/products/configure/screw-in%20cartridge%20valves/details/02-161473","02-161473")</f>
        <v>02-161473</v>
      </c>
      <c r="B30" s="6" t="s">
        <v>30</v>
      </c>
    </row>
    <row r="31" spans="1:2" x14ac:dyDescent="0.3">
      <c r="A31" s="7" t="str">
        <f>HYPERLINK("http://www.eatonpowersource.com/products/configure/screw-in%20cartridge%20valves/details/02-161755","02-161755")</f>
        <v>02-161755</v>
      </c>
      <c r="B31" s="8" t="s">
        <v>31</v>
      </c>
    </row>
    <row r="32" spans="1:2" x14ac:dyDescent="0.3">
      <c r="A32" s="5" t="str">
        <f>HYPERLINK("http://www.eatonpowersource.com/products/configure/screw-in%20cartridge%20valves/details/02-161756","02-161756")</f>
        <v>02-161756</v>
      </c>
      <c r="B32" s="6" t="s">
        <v>32</v>
      </c>
    </row>
    <row r="33" spans="1:2" x14ac:dyDescent="0.3">
      <c r="A33" s="7" t="str">
        <f>HYPERLINK("http://www.eatonpowersource.com/products/configure/screw-in%20cartridge%20valves/details/02-171651","02-171651")</f>
        <v>02-171651</v>
      </c>
      <c r="B33" s="8" t="s">
        <v>33</v>
      </c>
    </row>
    <row r="34" spans="1:2" x14ac:dyDescent="0.3">
      <c r="A34" s="5" t="str">
        <f>HYPERLINK("http://www.eatonpowersource.com/products/configure/screw-in%20cartridge%20valves/details/02-172778","02-172778")</f>
        <v>02-172778</v>
      </c>
      <c r="B34" s="6" t="s">
        <v>34</v>
      </c>
    </row>
    <row r="35" spans="1:2" x14ac:dyDescent="0.3">
      <c r="A35" s="7" t="str">
        <f>HYPERLINK("http://www.eatonpowersource.com/products/configure/screw-in%20cartridge%20valves/details/02-177338","02-177338")</f>
        <v>02-177338</v>
      </c>
      <c r="B35" s="8" t="s">
        <v>35</v>
      </c>
    </row>
    <row r="36" spans="1:2" x14ac:dyDescent="0.3">
      <c r="A36" s="5" t="str">
        <f>HYPERLINK("http://www.eatonpowersource.com/products/configure/screw-in%20cartridge%20valves/details/02-180710","02-180710")</f>
        <v>02-180710</v>
      </c>
      <c r="B36" s="6" t="s">
        <v>36</v>
      </c>
    </row>
    <row r="37" spans="1:2" x14ac:dyDescent="0.3">
      <c r="A37" s="7" t="str">
        <f>HYPERLINK("http://www.eatonpowersource.com/products/configure/screw-in%20cartridge%20valves/details/02-200765","02-200765")</f>
        <v>02-200765</v>
      </c>
      <c r="B37" s="8" t="s">
        <v>37</v>
      </c>
    </row>
    <row r="38" spans="1:2" x14ac:dyDescent="0.3">
      <c r="A38" s="5" t="str">
        <f>HYPERLINK("http://www.eatonpowersource.com/products/configure/screw-in%20cartridge%20valves/details/302aa00076a","302AA00076A")</f>
        <v>302AA00076A</v>
      </c>
      <c r="B38" s="6" t="s">
        <v>38</v>
      </c>
    </row>
    <row r="39" spans="1:2" x14ac:dyDescent="0.3">
      <c r="A39" s="7" t="str">
        <f>HYPERLINK("http://www.eatonpowersource.com/products/configure/screw-in%20cartridge%20valves/details/402aa00111a","402AA00111A")</f>
        <v>402AA00111A</v>
      </c>
      <c r="B39" s="8" t="s">
        <v>39</v>
      </c>
    </row>
    <row r="40" spans="1:2" x14ac:dyDescent="0.3">
      <c r="A40" s="5" t="str">
        <f>HYPERLINK("http://www.eatonpowersource.com/products/configure/screw-in%20cartridge%20valves/details/402aa00458a","402AA00458A")</f>
        <v>402AA00458A</v>
      </c>
      <c r="B40" s="6" t="s">
        <v>40</v>
      </c>
    </row>
    <row r="41" spans="1:2" x14ac:dyDescent="0.3">
      <c r="A41" s="7" t="str">
        <f>HYPERLINK("http://www.eatonpowersource.com/products/configure/screw-in%20cartridge%20valves/details/402aa00496a","402AA00496A")</f>
        <v>402AA00496A</v>
      </c>
      <c r="B41" s="8" t="s">
        <v>41</v>
      </c>
    </row>
    <row r="42" spans="1:2" x14ac:dyDescent="0.3">
      <c r="A42" s="5" t="str">
        <f>HYPERLINK("http://www.eatonpowersource.com/products/configure/screw-in%20cartridge%20valves/details/402aa00613a","402AA00613A")</f>
        <v>402AA00613A</v>
      </c>
      <c r="B42" s="6" t="s">
        <v>42</v>
      </c>
    </row>
    <row r="43" spans="1:2" x14ac:dyDescent="0.3">
      <c r="A43" s="7" t="str">
        <f>HYPERLINK("http://www.eatonpowersource.com/products/configure/screw-in%20cartridge%20valves/details/565604","565604")</f>
        <v>565604</v>
      </c>
      <c r="B43" s="8" t="s">
        <v>43</v>
      </c>
    </row>
    <row r="44" spans="1:2" x14ac:dyDescent="0.3">
      <c r="A44" s="5" t="str">
        <f>HYPERLINK("http://www.eatonpowersource.com/products/configure/screw-in%20cartridge%20valves/details/565605","565605")</f>
        <v>565605</v>
      </c>
      <c r="B44" s="6" t="s">
        <v>44</v>
      </c>
    </row>
    <row r="45" spans="1:2" x14ac:dyDescent="0.3">
      <c r="A45" s="7" t="str">
        <f>HYPERLINK("http://www.eatonpowersource.com/products/configure/screw-in%20cartridge%20valves/details/565606","565606")</f>
        <v>565606</v>
      </c>
      <c r="B45" s="8" t="s">
        <v>45</v>
      </c>
    </row>
    <row r="46" spans="1:2" x14ac:dyDescent="0.3">
      <c r="A46" s="5" t="str">
        <f>HYPERLINK("http://www.eatonpowersource.com/products/configure/screw-in%20cartridge%20valves/details/565607","565607")</f>
        <v>565607</v>
      </c>
      <c r="B46" s="6" t="s">
        <v>46</v>
      </c>
    </row>
    <row r="47" spans="1:2" x14ac:dyDescent="0.3">
      <c r="A47" s="7" t="str">
        <f>HYPERLINK("http://www.eatonpowersource.com/products/configure/screw-in%20cartridge%20valves/details/565608","565608")</f>
        <v>565608</v>
      </c>
      <c r="B47" s="8" t="s">
        <v>47</v>
      </c>
    </row>
    <row r="48" spans="1:2" x14ac:dyDescent="0.3">
      <c r="A48" s="5" t="str">
        <f>HYPERLINK("http://www.eatonpowersource.com/products/configure/screw-in%20cartridge%20valves/details/565609","565609")</f>
        <v>565609</v>
      </c>
      <c r="B48" s="6" t="s">
        <v>48</v>
      </c>
    </row>
    <row r="49" spans="1:2" x14ac:dyDescent="0.3">
      <c r="A49" s="7" t="str">
        <f>HYPERLINK("http://www.eatonpowersource.com/products/configure/screw-in%20cartridge%20valves/details/566010","566010")</f>
        <v>566010</v>
      </c>
      <c r="B49" s="8" t="s">
        <v>49</v>
      </c>
    </row>
    <row r="50" spans="1:2" x14ac:dyDescent="0.3">
      <c r="A50" s="5" t="str">
        <f>HYPERLINK("http://www.eatonpowersource.com/products/configure/screw-in%20cartridge%20valves/details/566089","566089")</f>
        <v>566089</v>
      </c>
      <c r="B50" s="6" t="s">
        <v>50</v>
      </c>
    </row>
    <row r="51" spans="1:2" x14ac:dyDescent="0.3">
      <c r="A51" s="7" t="str">
        <f>HYPERLINK("http://www.eatonpowersource.com/products/configure/screw-in%20cartridge%20valves/details/566090","566090")</f>
        <v>566090</v>
      </c>
      <c r="B51" s="8" t="s">
        <v>51</v>
      </c>
    </row>
    <row r="52" spans="1:2" x14ac:dyDescent="0.3">
      <c r="A52" s="5" t="str">
        <f>HYPERLINK("http://www.eatonpowersource.com/products/configure/screw-in%20cartridge%20valves/details/566264","566264")</f>
        <v>566264</v>
      </c>
      <c r="B52" s="6" t="s">
        <v>52</v>
      </c>
    </row>
    <row r="53" spans="1:2" x14ac:dyDescent="0.3">
      <c r="A53" s="7" t="str">
        <f>HYPERLINK("http://www.eatonpowersource.com/products/configure/screw-in%20cartridge%20valves/details/566309","566309")</f>
        <v>566309</v>
      </c>
      <c r="B53" s="8" t="s">
        <v>53</v>
      </c>
    </row>
    <row r="54" spans="1:2" x14ac:dyDescent="0.3">
      <c r="A54" s="5" t="str">
        <f>HYPERLINK("http://www.eatonpowersource.com/products/configure/screw-in%20cartridge%20valves/details/566313","566313")</f>
        <v>566313</v>
      </c>
      <c r="B54" s="6" t="s">
        <v>54</v>
      </c>
    </row>
    <row r="55" spans="1:2" x14ac:dyDescent="0.3">
      <c r="A55" s="7" t="str">
        <f>HYPERLINK("http://www.eatonpowersource.com/products/configure/screw-in%20cartridge%20valves/details/566342","566342")</f>
        <v>566342</v>
      </c>
      <c r="B55" s="8" t="s">
        <v>55</v>
      </c>
    </row>
    <row r="56" spans="1:2" x14ac:dyDescent="0.3">
      <c r="A56" s="5" t="str">
        <f>HYPERLINK("http://www.eatonpowersource.com/products/configure/screw-in%20cartridge%20valves/details/566373","566373")</f>
        <v>566373</v>
      </c>
      <c r="B56" s="6" t="s">
        <v>56</v>
      </c>
    </row>
    <row r="57" spans="1:2" x14ac:dyDescent="0.3">
      <c r="A57" s="7" t="str">
        <f>HYPERLINK("http://www.eatonpowersource.com/products/configure/screw-in%20cartridge%20valves/details/566396","566396")</f>
        <v>566396</v>
      </c>
      <c r="B57" s="8" t="s">
        <v>57</v>
      </c>
    </row>
    <row r="58" spans="1:2" x14ac:dyDescent="0.3">
      <c r="A58" s="5" t="str">
        <f>HYPERLINK("http://www.eatonpowersource.com/products/configure/screw-in%20cartridge%20valves/details/566490","566490")</f>
        <v>566490</v>
      </c>
      <c r="B58" s="6" t="s">
        <v>58</v>
      </c>
    </row>
    <row r="59" spans="1:2" x14ac:dyDescent="0.3">
      <c r="A59" s="7" t="str">
        <f>HYPERLINK("http://www.eatonpowersource.com/products/configure/screw-in%20cartridge%20valves/details/566522","566522")</f>
        <v>566522</v>
      </c>
      <c r="B59" s="8" t="s">
        <v>59</v>
      </c>
    </row>
    <row r="60" spans="1:2" x14ac:dyDescent="0.3">
      <c r="A60" s="5" t="str">
        <f>HYPERLINK("http://www.eatonpowersource.com/products/configure/screw-in%20cartridge%20valves/details/566545","566545")</f>
        <v>566545</v>
      </c>
      <c r="B60" s="6" t="s">
        <v>60</v>
      </c>
    </row>
    <row r="61" spans="1:2" x14ac:dyDescent="0.3">
      <c r="A61" s="7" t="str">
        <f>HYPERLINK("http://www.eatonpowersource.com/products/configure/screw-in%20cartridge%20valves/details/566548","566548")</f>
        <v>566548</v>
      </c>
      <c r="B61" s="8" t="s">
        <v>61</v>
      </c>
    </row>
    <row r="62" spans="1:2" x14ac:dyDescent="0.3">
      <c r="A62" s="5" t="str">
        <f>HYPERLINK("http://www.eatonpowersource.com/products/configure/screw-in%20cartridge%20valves/details/566549","566549")</f>
        <v>566549</v>
      </c>
      <c r="B62" s="6" t="s">
        <v>62</v>
      </c>
    </row>
    <row r="63" spans="1:2" x14ac:dyDescent="0.3">
      <c r="A63" s="7" t="str">
        <f>HYPERLINK("http://www.eatonpowersource.com/products/configure/screw-in%20cartridge%20valves/details/566550","566550")</f>
        <v>566550</v>
      </c>
      <c r="B63" s="8" t="s">
        <v>63</v>
      </c>
    </row>
    <row r="64" spans="1:2" x14ac:dyDescent="0.3">
      <c r="A64" s="5" t="str">
        <f>HYPERLINK("http://www.eatonpowersource.com/products/configure/screw-in%20cartridge%20valves/details/566578","566578")</f>
        <v>566578</v>
      </c>
      <c r="B64" s="6" t="s">
        <v>64</v>
      </c>
    </row>
    <row r="65" spans="1:2" x14ac:dyDescent="0.3">
      <c r="A65" s="7" t="str">
        <f>HYPERLINK("http://www.eatonpowersource.com/products/configure/screw-in%20cartridge%20valves/details/566612","566612")</f>
        <v>566612</v>
      </c>
      <c r="B65" s="8" t="s">
        <v>65</v>
      </c>
    </row>
    <row r="66" spans="1:2" x14ac:dyDescent="0.3">
      <c r="A66" s="5" t="str">
        <f>HYPERLINK("http://www.eatonpowersource.com/products/configure/screw-in%20cartridge%20valves/details/566613","566613")</f>
        <v>566613</v>
      </c>
      <c r="B66" s="6" t="s">
        <v>66</v>
      </c>
    </row>
    <row r="67" spans="1:2" x14ac:dyDescent="0.3">
      <c r="A67" s="7" t="str">
        <f>HYPERLINK("http://www.eatonpowersource.com/products/configure/screw-in%20cartridge%20valves/details/566628","566628")</f>
        <v>566628</v>
      </c>
      <c r="B67" s="8" t="s">
        <v>67</v>
      </c>
    </row>
    <row r="68" spans="1:2" x14ac:dyDescent="0.3">
      <c r="A68" s="5" t="str">
        <f>HYPERLINK("http://www.eatonpowersource.com/products/configure/screw-in%20cartridge%20valves/details/566636","566636")</f>
        <v>566636</v>
      </c>
      <c r="B68" s="6" t="s">
        <v>68</v>
      </c>
    </row>
    <row r="69" spans="1:2" x14ac:dyDescent="0.3">
      <c r="A69" s="7" t="str">
        <f>HYPERLINK("http://www.eatonpowersource.com/products/configure/screw-in%20cartridge%20valves/details/566642","566642")</f>
        <v>566642</v>
      </c>
      <c r="B69" s="8" t="s">
        <v>69</v>
      </c>
    </row>
    <row r="70" spans="1:2" x14ac:dyDescent="0.3">
      <c r="A70" s="5" t="str">
        <f>HYPERLINK("http://www.eatonpowersource.com/products/configure/screw-in%20cartridge%20valves/details/566675","566675")</f>
        <v>566675</v>
      </c>
      <c r="B70" s="6" t="s">
        <v>70</v>
      </c>
    </row>
    <row r="71" spans="1:2" x14ac:dyDescent="0.3">
      <c r="A71" s="7" t="str">
        <f>HYPERLINK("http://www.eatonpowersource.com/products/configure/screw-in%20cartridge%20valves/details/566687","566687")</f>
        <v>566687</v>
      </c>
      <c r="B71" s="8" t="s">
        <v>71</v>
      </c>
    </row>
    <row r="72" spans="1:2" x14ac:dyDescent="0.3">
      <c r="A72" s="5" t="str">
        <f>HYPERLINK("http://www.eatonpowersource.com/products/configure/screw-in%20cartridge%20valves/details/566700","566700")</f>
        <v>566700</v>
      </c>
      <c r="B72" s="6" t="s">
        <v>72</v>
      </c>
    </row>
    <row r="73" spans="1:2" x14ac:dyDescent="0.3">
      <c r="A73" s="7" t="str">
        <f>HYPERLINK("http://www.eatonpowersource.com/products/configure/screw-in%20cartridge%20valves/details/889270","889270")</f>
        <v>889270</v>
      </c>
      <c r="B73" s="8" t="s">
        <v>73</v>
      </c>
    </row>
    <row r="74" spans="1:2" x14ac:dyDescent="0.3">
      <c r="A74" s="5" t="str">
        <f>HYPERLINK("http://www.eatonpowersource.com/products/configure/screw-in%20cartridge%20valves/details/889271","889271")</f>
        <v>889271</v>
      </c>
      <c r="B74" s="6" t="s">
        <v>74</v>
      </c>
    </row>
    <row r="75" spans="1:2" x14ac:dyDescent="0.3">
      <c r="A75" s="7" t="str">
        <f>HYPERLINK("http://www.eatonpowersource.com/products/configure/screw-in%20cartridge%20valves/details/889273","889273")</f>
        <v>889273</v>
      </c>
      <c r="B75" s="8" t="s">
        <v>75</v>
      </c>
    </row>
    <row r="76" spans="1:2" x14ac:dyDescent="0.3">
      <c r="A76" s="5" t="str">
        <f>HYPERLINK("http://www.eatonpowersource.com/products/configure/screw-in%20cartridge%20valves/details/889275","889275")</f>
        <v>889275</v>
      </c>
      <c r="B76" s="6" t="s">
        <v>76</v>
      </c>
    </row>
    <row r="77" spans="1:2" x14ac:dyDescent="0.3">
      <c r="A77" s="7" t="str">
        <f>HYPERLINK("http://www.eatonpowersource.com/products/configure/screw-in%20cartridge%20valves/details/889276","889276")</f>
        <v>889276</v>
      </c>
      <c r="B77" s="8" t="s">
        <v>77</v>
      </c>
    </row>
    <row r="78" spans="1:2" x14ac:dyDescent="0.3">
      <c r="A78" s="5" t="str">
        <f>HYPERLINK("http://www.eatonpowersource.com/products/configure/screw-in%20cartridge%20valves/details/889279","889279")</f>
        <v>889279</v>
      </c>
      <c r="B78" s="6" t="s">
        <v>78</v>
      </c>
    </row>
    <row r="79" spans="1:2" x14ac:dyDescent="0.3">
      <c r="A79" s="7" t="str">
        <f>HYPERLINK("http://www.eatonpowersource.com/products/configure/screw-in%20cartridge%20valves/details/889280","889280")</f>
        <v>889280</v>
      </c>
      <c r="B79" s="8" t="s">
        <v>79</v>
      </c>
    </row>
    <row r="80" spans="1:2" x14ac:dyDescent="0.3">
      <c r="A80" s="5" t="str">
        <f>HYPERLINK("http://www.eatonpowersource.com/products/configure/screw-in%20cartridge%20valves/details/889282","889282")</f>
        <v>889282</v>
      </c>
      <c r="B80" s="6" t="s">
        <v>80</v>
      </c>
    </row>
    <row r="81" spans="1:2" x14ac:dyDescent="0.3">
      <c r="A81" s="7" t="str">
        <f>HYPERLINK("http://www.eatonpowersource.com/products/configure/screw-in%20cartridge%20valves/details/889283","889283")</f>
        <v>889283</v>
      </c>
      <c r="B81" s="8" t="s">
        <v>81</v>
      </c>
    </row>
    <row r="82" spans="1:2" x14ac:dyDescent="0.3">
      <c r="A82" s="5" t="str">
        <f>HYPERLINK("http://www.eatonpowersource.com/products/configure/screw-in%20cartridge%20valves/details/889284","889284")</f>
        <v>889284</v>
      </c>
      <c r="B82" s="6" t="s">
        <v>82</v>
      </c>
    </row>
    <row r="83" spans="1:2" x14ac:dyDescent="0.3">
      <c r="A83" s="7" t="str">
        <f>HYPERLINK("http://www.eatonpowersource.com/products/configure/screw-in%20cartridge%20valves/details/889286","889286")</f>
        <v>889286</v>
      </c>
      <c r="B83" s="8" t="s">
        <v>83</v>
      </c>
    </row>
    <row r="84" spans="1:2" x14ac:dyDescent="0.3">
      <c r="A84" s="5" t="str">
        <f>HYPERLINK("http://www.eatonpowersource.com/products/configure/screw-in%20cartridge%20valves/details/889288","889288")</f>
        <v>889288</v>
      </c>
      <c r="B84" s="6" t="s">
        <v>84</v>
      </c>
    </row>
    <row r="85" spans="1:2" x14ac:dyDescent="0.3">
      <c r="A85" s="7" t="str">
        <f>HYPERLINK("http://www.eatonpowersource.com/products/configure/screw-in%20cartridge%20valves/details/889291","889291")</f>
        <v>889291</v>
      </c>
      <c r="B85" s="8" t="s">
        <v>85</v>
      </c>
    </row>
    <row r="86" spans="1:2" x14ac:dyDescent="0.3">
      <c r="A86" s="5" t="str">
        <f>HYPERLINK("http://www.eatonpowersource.com/products/configure/screw-in%20cartridge%20valves/details/889292","889292")</f>
        <v>889292</v>
      </c>
      <c r="B86" s="6" t="s">
        <v>86</v>
      </c>
    </row>
    <row r="87" spans="1:2" x14ac:dyDescent="0.3">
      <c r="A87" s="7" t="str">
        <f>HYPERLINK("http://www.eatonpowersource.com/products/configure/screw-in%20cartridge%20valves/details/889293","889293")</f>
        <v>889293</v>
      </c>
      <c r="B87" s="8" t="s">
        <v>87</v>
      </c>
    </row>
    <row r="88" spans="1:2" x14ac:dyDescent="0.3">
      <c r="A88" s="5" t="str">
        <f>HYPERLINK("http://www.eatonpowersource.com/products/configure/screw-in%20cartridge%20valves/details/889302","889302")</f>
        <v>889302</v>
      </c>
      <c r="B88" s="6" t="s">
        <v>88</v>
      </c>
    </row>
    <row r="89" spans="1:2" x14ac:dyDescent="0.3">
      <c r="A89" s="7" t="str">
        <f>HYPERLINK("http://www.eatonpowersource.com/products/configure/screw-in%20cartridge%20valves/details/889303","889303")</f>
        <v>889303</v>
      </c>
      <c r="B89" s="8" t="s">
        <v>89</v>
      </c>
    </row>
    <row r="90" spans="1:2" x14ac:dyDescent="0.3">
      <c r="A90" s="5" t="str">
        <f>HYPERLINK("http://www.eatonpowersource.com/products/configure/screw-in%20cartridge%20valves/details/889304","889304")</f>
        <v>889304</v>
      </c>
      <c r="B90" s="6" t="s">
        <v>90</v>
      </c>
    </row>
    <row r="91" spans="1:2" x14ac:dyDescent="0.3">
      <c r="A91" s="7" t="str">
        <f>HYPERLINK("http://www.eatonpowersource.com/products/configure/screw-in%20cartridge%20valves/details/889306","889306")</f>
        <v>889306</v>
      </c>
      <c r="B91" s="8" t="s">
        <v>91</v>
      </c>
    </row>
    <row r="92" spans="1:2" x14ac:dyDescent="0.3">
      <c r="A92" s="5" t="str">
        <f>HYPERLINK("http://www.eatonpowersource.com/products/configure/screw-in%20cartridge%20valves/details/402aa00485a","402AA00485A")</f>
        <v>402AA00485A</v>
      </c>
      <c r="B92" s="6" t="s">
        <v>92</v>
      </c>
    </row>
    <row r="93" spans="1:2" x14ac:dyDescent="0.3">
      <c r="A93" s="7" t="str">
        <f>HYPERLINK("http://www.eatonpowersource.com/products/configure/screw-in%20cartridge%20valves/details/02-112780","02-112780")</f>
        <v>02-112780</v>
      </c>
      <c r="B93" s="8" t="s">
        <v>93</v>
      </c>
    </row>
    <row r="94" spans="1:2" x14ac:dyDescent="0.3">
      <c r="A94" s="5" t="str">
        <f>HYPERLINK("http://www.eatonpowersource.com/products/configure/screw-in%20cartridge%20valves/details/02-112994","02-112994")</f>
        <v>02-112994</v>
      </c>
      <c r="B94" s="6" t="s">
        <v>94</v>
      </c>
    </row>
    <row r="95" spans="1:2" x14ac:dyDescent="0.3">
      <c r="A95" s="7" t="str">
        <f>HYPERLINK("http://www.eatonpowersource.com/products/configure/screw-in%20cartridge%20valves/details/02-113041","02-113041")</f>
        <v>02-113041</v>
      </c>
      <c r="B95" s="8" t="s">
        <v>95</v>
      </c>
    </row>
    <row r="96" spans="1:2" x14ac:dyDescent="0.3">
      <c r="A96" s="5" t="str">
        <f>HYPERLINK("http://www.eatonpowersource.com/products/configure/screw-in%20cartridge%20valves/details/02-113096","02-113096")</f>
        <v>02-113096</v>
      </c>
      <c r="B96" s="6" t="s">
        <v>96</v>
      </c>
    </row>
    <row r="97" spans="1:2" x14ac:dyDescent="0.3">
      <c r="A97" s="7" t="str">
        <f>HYPERLINK("http://www.eatonpowersource.com/products/configure/screw-in%20cartridge%20valves/details/02-161134","02-161134")</f>
        <v>02-161134</v>
      </c>
      <c r="B97" s="8" t="s">
        <v>97</v>
      </c>
    </row>
    <row r="98" spans="1:2" x14ac:dyDescent="0.3">
      <c r="A98" s="5" t="str">
        <f>HYPERLINK("http://www.eatonpowersource.com/products/configure/screw-in%20cartridge%20valves/details/02-161181","02-161181")</f>
        <v>02-161181</v>
      </c>
      <c r="B98" s="6" t="s">
        <v>98</v>
      </c>
    </row>
    <row r="99" spans="1:2" x14ac:dyDescent="0.3">
      <c r="A99" s="7" t="str">
        <f>HYPERLINK("http://www.eatonpowersource.com/products/configure/screw-in%20cartridge%20valves/details/02-161455","02-161455")</f>
        <v>02-161455</v>
      </c>
      <c r="B99" s="8" t="s">
        <v>99</v>
      </c>
    </row>
    <row r="100" spans="1:2" x14ac:dyDescent="0.3">
      <c r="A100" s="5" t="str">
        <f>HYPERLINK("http://www.eatonpowersource.com/products/configure/screw-in%20cartridge%20valves/details/02-161764","02-161764")</f>
        <v>02-161764</v>
      </c>
      <c r="B100" s="6" t="s">
        <v>100</v>
      </c>
    </row>
    <row r="101" spans="1:2" x14ac:dyDescent="0.3">
      <c r="A101" s="7" t="str">
        <f>HYPERLINK("http://www.eatonpowersource.com/products/configure/screw-in%20cartridge%20valves/details/02-171003","02-171003")</f>
        <v>02-171003</v>
      </c>
      <c r="B101" s="8" t="s">
        <v>101</v>
      </c>
    </row>
    <row r="102" spans="1:2" x14ac:dyDescent="0.3">
      <c r="A102" s="5" t="str">
        <f>HYPERLINK("http://www.eatonpowersource.com/products/configure/screw-in%20cartridge%20valves/details/02-180017","02-180017")</f>
        <v>02-180017</v>
      </c>
      <c r="B102" s="6" t="s">
        <v>102</v>
      </c>
    </row>
    <row r="103" spans="1:2" x14ac:dyDescent="0.3">
      <c r="A103" s="7" t="str">
        <f>HYPERLINK("http://www.eatonpowersource.com/products/configure/screw-in%20cartridge%20valves/details/02-198995","02-198995")</f>
        <v>02-198995</v>
      </c>
      <c r="B103" s="8" t="s">
        <v>103</v>
      </c>
    </row>
    <row r="104" spans="1:2" x14ac:dyDescent="0.3">
      <c r="A104" s="5" t="str">
        <f>HYPERLINK("http://www.eatonpowersource.com/products/configure/screw-in%20cartridge%20valves/details/02-199782","02-199782")</f>
        <v>02-199782</v>
      </c>
      <c r="B104" s="6" t="s">
        <v>104</v>
      </c>
    </row>
    <row r="105" spans="1:2" x14ac:dyDescent="0.3">
      <c r="A105" s="7" t="str">
        <f>HYPERLINK("http://www.eatonpowersource.com/products/configure/screw-in%20cartridge%20valves/details/02-200793","02-200793")</f>
        <v>02-200793</v>
      </c>
      <c r="B105" s="8" t="s">
        <v>105</v>
      </c>
    </row>
    <row r="106" spans="1:2" x14ac:dyDescent="0.3">
      <c r="A106" s="5" t="str">
        <f>HYPERLINK("http://www.eatonpowersource.com/products/configure/screw-in%20cartridge%20valves/details/02-201158","02-201158")</f>
        <v>02-201158</v>
      </c>
      <c r="B106" s="6" t="s">
        <v>106</v>
      </c>
    </row>
    <row r="107" spans="1:2" x14ac:dyDescent="0.3">
      <c r="A107" s="7" t="str">
        <f>HYPERLINK("http://www.eatonpowersource.com/products/configure/screw-in%20cartridge%20valves/details/02-201296","02-201296")</f>
        <v>02-201296</v>
      </c>
      <c r="B107" s="8" t="s">
        <v>107</v>
      </c>
    </row>
    <row r="108" spans="1:2" x14ac:dyDescent="0.3">
      <c r="A108" s="5" t="str">
        <f>HYPERLINK("http://www.eatonpowersource.com/products/configure/screw-in%20cartridge%20valves/details/302aa00010a","302AA00010A")</f>
        <v>302AA00010A</v>
      </c>
      <c r="B108" s="6" t="s">
        <v>108</v>
      </c>
    </row>
    <row r="109" spans="1:2" x14ac:dyDescent="0.3">
      <c r="A109" s="7" t="str">
        <f>HYPERLINK("http://www.eatonpowersource.com/products/configure/screw-in%20cartridge%20valves/details/302aa00011a","302AA00011A")</f>
        <v>302AA00011A</v>
      </c>
      <c r="B109" s="8" t="s">
        <v>109</v>
      </c>
    </row>
    <row r="110" spans="1:2" x14ac:dyDescent="0.3">
      <c r="A110" s="5" t="str">
        <f>HYPERLINK("http://www.eatonpowersource.com/products/configure/screw-in%20cartridge%20valves/details/302aa00014a","302AA00014A")</f>
        <v>302AA00014A</v>
      </c>
      <c r="B110" s="6" t="s">
        <v>110</v>
      </c>
    </row>
    <row r="111" spans="1:2" x14ac:dyDescent="0.3">
      <c r="A111" s="7" t="str">
        <f>HYPERLINK("http://www.eatonpowersource.com/products/configure/screw-in%20cartridge%20valves/details/302aa00015a","302AA00015A")</f>
        <v>302AA00015A</v>
      </c>
      <c r="B111" s="8" t="s">
        <v>111</v>
      </c>
    </row>
    <row r="112" spans="1:2" x14ac:dyDescent="0.3">
      <c r="A112" s="5" t="str">
        <f>HYPERLINK("http://www.eatonpowersource.com/products/configure/screw-in%20cartridge%20valves/details/302aa00017a","302AA00017A")</f>
        <v>302AA00017A</v>
      </c>
      <c r="B112" s="6" t="s">
        <v>112</v>
      </c>
    </row>
    <row r="113" spans="1:2" x14ac:dyDescent="0.3">
      <c r="A113" s="7" t="str">
        <f>HYPERLINK("http://www.eatonpowersource.com/products/configure/screw-in%20cartridge%20valves/details/302aa00019a","302AA00019A")</f>
        <v>302AA00019A</v>
      </c>
      <c r="B113" s="8" t="s">
        <v>113</v>
      </c>
    </row>
    <row r="114" spans="1:2" x14ac:dyDescent="0.3">
      <c r="A114" s="5" t="str">
        <f>HYPERLINK("http://www.eatonpowersource.com/products/configure/screw-in%20cartridge%20valves/details/302aa00020a","302AA00020A")</f>
        <v>302AA00020A</v>
      </c>
      <c r="B114" s="6" t="s">
        <v>114</v>
      </c>
    </row>
    <row r="115" spans="1:2" x14ac:dyDescent="0.3">
      <c r="A115" s="7" t="str">
        <f>HYPERLINK("http://www.eatonpowersource.com/products/configure/screw-in%20cartridge%20valves/details/302aa00021a","302AA00021A")</f>
        <v>302AA00021A</v>
      </c>
      <c r="B115" s="8" t="s">
        <v>115</v>
      </c>
    </row>
    <row r="116" spans="1:2" x14ac:dyDescent="0.3">
      <c r="A116" s="5" t="str">
        <f>HYPERLINK("http://www.eatonpowersource.com/products/configure/screw-in%20cartridge%20valves/details/302aa00024a","302AA00024A")</f>
        <v>302AA00024A</v>
      </c>
      <c r="B116" s="6" t="s">
        <v>116</v>
      </c>
    </row>
    <row r="117" spans="1:2" x14ac:dyDescent="0.3">
      <c r="A117" s="7" t="str">
        <f>HYPERLINK("http://www.eatonpowersource.com/products/configure/screw-in%20cartridge%20valves/details/302aa00025a","302AA00025A")</f>
        <v>302AA00025A</v>
      </c>
      <c r="B117" s="8" t="s">
        <v>117</v>
      </c>
    </row>
    <row r="118" spans="1:2" x14ac:dyDescent="0.3">
      <c r="A118" s="5" t="str">
        <f>HYPERLINK("http://www.eatonpowersource.com/products/configure/screw-in%20cartridge%20valves/details/302aa00030a","302AA00030A")</f>
        <v>302AA00030A</v>
      </c>
      <c r="B118" s="6" t="s">
        <v>118</v>
      </c>
    </row>
    <row r="119" spans="1:2" x14ac:dyDescent="0.3">
      <c r="A119" s="7" t="str">
        <f>HYPERLINK("http://www.eatonpowersource.com/products/configure/screw-in%20cartridge%20valves/details/302aa00065a","302AA00065A")</f>
        <v>302AA00065A</v>
      </c>
      <c r="B119" s="8" t="s">
        <v>119</v>
      </c>
    </row>
    <row r="120" spans="1:2" x14ac:dyDescent="0.3">
      <c r="A120" s="5" t="str">
        <f>HYPERLINK("http://www.eatonpowersource.com/products/configure/screw-in%20cartridge%20valves/details/302aa00067a","302AA00067A")</f>
        <v>302AA00067A</v>
      </c>
      <c r="B120" s="6" t="s">
        <v>120</v>
      </c>
    </row>
    <row r="121" spans="1:2" x14ac:dyDescent="0.3">
      <c r="A121" s="7" t="str">
        <f>HYPERLINK("http://www.eatonpowersource.com/products/configure/screw-in%20cartridge%20valves/details/302aa00113a","302AA00113A")</f>
        <v>302AA00113A</v>
      </c>
      <c r="B121" s="8" t="s">
        <v>121</v>
      </c>
    </row>
    <row r="122" spans="1:2" x14ac:dyDescent="0.3">
      <c r="A122" s="5" t="str">
        <f>HYPERLINK("http://www.eatonpowersource.com/products/configure/screw-in%20cartridge%20valves/details/566000","566000")</f>
        <v>566000</v>
      </c>
      <c r="B122" s="6" t="s">
        <v>122</v>
      </c>
    </row>
    <row r="123" spans="1:2" x14ac:dyDescent="0.3">
      <c r="A123" s="7" t="str">
        <f>HYPERLINK("http://www.eatonpowersource.com/products/configure/screw-in%20cartridge%20valves/details/566379","566379")</f>
        <v>566379</v>
      </c>
      <c r="B123" s="8" t="s">
        <v>123</v>
      </c>
    </row>
    <row r="124" spans="1:2" x14ac:dyDescent="0.3">
      <c r="A124" s="5" t="str">
        <f>HYPERLINK("http://www.eatonpowersource.com/products/configure/screw-in%20cartridge%20valves/details/566530","566530")</f>
        <v>566530</v>
      </c>
      <c r="B124" s="6" t="s">
        <v>124</v>
      </c>
    </row>
    <row r="125" spans="1:2" x14ac:dyDescent="0.3">
      <c r="A125" s="7" t="str">
        <f>HYPERLINK("http://www.eatonpowersource.com/products/configure/screw-in%20cartridge%20valves/details/889285","889285")</f>
        <v>889285</v>
      </c>
      <c r="B125" s="8" t="s">
        <v>125</v>
      </c>
    </row>
    <row r="126" spans="1:2" x14ac:dyDescent="0.3">
      <c r="A126" s="5" t="str">
        <f>HYPERLINK("http://www.eatonpowersource.com/products/configure/screw-in%20cartridge%20valves/details/889289","889289")</f>
        <v>889289</v>
      </c>
      <c r="B126" s="6" t="s">
        <v>126</v>
      </c>
    </row>
    <row r="127" spans="1:2" x14ac:dyDescent="0.3">
      <c r="A127" s="7" t="str">
        <f>HYPERLINK("http://www.eatonpowersource.com/products/configure/screw-in%20cartridge%20valves/details/889290","889290")</f>
        <v>889290</v>
      </c>
      <c r="B127" s="8" t="s">
        <v>127</v>
      </c>
    </row>
    <row r="128" spans="1:2" x14ac:dyDescent="0.3">
      <c r="A128" s="5" t="str">
        <f>HYPERLINK("http://www.eatonpowersource.com/products/configure/screw-in%20cartridge%20valves/details/02-112807","02-112807")</f>
        <v>02-112807</v>
      </c>
      <c r="B128" s="6" t="s">
        <v>128</v>
      </c>
    </row>
    <row r="129" spans="1:2" x14ac:dyDescent="0.3">
      <c r="A129" s="7" t="str">
        <f>HYPERLINK("http://www.eatonpowersource.com/products/configure/screw-in%20cartridge%20valves/details/02-112808","02-112808")</f>
        <v>02-112808</v>
      </c>
      <c r="B129" s="8" t="s">
        <v>129</v>
      </c>
    </row>
    <row r="130" spans="1:2" x14ac:dyDescent="0.3">
      <c r="A130" s="5" t="str">
        <f>HYPERLINK("http://www.eatonpowersource.com/products/configure/screw-in%20cartridge%20valves/details/02-113145","02-113145")</f>
        <v>02-113145</v>
      </c>
      <c r="B130" s="6" t="s">
        <v>130</v>
      </c>
    </row>
    <row r="131" spans="1:2" x14ac:dyDescent="0.3">
      <c r="A131" s="7" t="str">
        <f>HYPERLINK("http://www.eatonpowersource.com/products/configure/screw-in%20cartridge%20valves/details/02-165572","02-165572")</f>
        <v>02-165572</v>
      </c>
      <c r="B131" s="8" t="s">
        <v>131</v>
      </c>
    </row>
    <row r="132" spans="1:2" x14ac:dyDescent="0.3">
      <c r="A132" s="5" t="str">
        <f>HYPERLINK("http://www.eatonpowersource.com/products/configure/screw-in%20cartridge%20valves/details/02-171239","02-171239")</f>
        <v>02-171239</v>
      </c>
      <c r="B132" s="6" t="s">
        <v>132</v>
      </c>
    </row>
    <row r="133" spans="1:2" x14ac:dyDescent="0.3">
      <c r="A133" s="7" t="str">
        <f>HYPERLINK("http://www.eatonpowersource.com/products/configure/screw-in%20cartridge%20valves/details/02-176334","02-176334")</f>
        <v>02-176334</v>
      </c>
      <c r="B133" s="8" t="s">
        <v>133</v>
      </c>
    </row>
    <row r="134" spans="1:2" x14ac:dyDescent="0.3">
      <c r="A134" s="5" t="str">
        <f>HYPERLINK("http://www.eatonpowersource.com/products/configure/screw-in%20cartridge%20valves/details/02-199239","02-199239")</f>
        <v>02-199239</v>
      </c>
      <c r="B134" s="6" t="s">
        <v>134</v>
      </c>
    </row>
    <row r="135" spans="1:2" x14ac:dyDescent="0.3">
      <c r="A135" s="7" t="str">
        <f>HYPERLINK("http://www.eatonpowersource.com/products/configure/screw-in%20cartridge%20valves/details/02-201125","02-201125")</f>
        <v>02-201125</v>
      </c>
      <c r="B135" s="8" t="s">
        <v>135</v>
      </c>
    </row>
    <row r="136" spans="1:2" x14ac:dyDescent="0.3">
      <c r="A136" s="5" t="str">
        <f>HYPERLINK("http://www.eatonpowersource.com/products/configure/screw-in%20cartridge%20valves/details/304aa00006a","304AA00006A")</f>
        <v>304AA00006A</v>
      </c>
      <c r="B136" s="6" t="s">
        <v>136</v>
      </c>
    </row>
    <row r="137" spans="1:2" x14ac:dyDescent="0.3">
      <c r="A137" s="7" t="str">
        <f>HYPERLINK("http://www.eatonpowersource.com/products/configure/screw-in%20cartridge%20valves/details/402aa00063a","402AA00063A")</f>
        <v>402AA00063A</v>
      </c>
      <c r="B137" s="8" t="s">
        <v>137</v>
      </c>
    </row>
    <row r="138" spans="1:2" x14ac:dyDescent="0.3">
      <c r="A138" s="5" t="str">
        <f>HYPERLINK("http://www.eatonpowersource.com/products/configure/screw-in%20cartridge%20valves/details/402aa00406a","402AA00406A")</f>
        <v>402AA00406A</v>
      </c>
      <c r="B138" s="6" t="s">
        <v>138</v>
      </c>
    </row>
    <row r="139" spans="1:2" x14ac:dyDescent="0.3">
      <c r="A139" s="7" t="str">
        <f>HYPERLINK("http://www.eatonpowersource.com/products/configure/screw-in%20cartridge%20valves/details/404aa00001a","404AA00001A")</f>
        <v>404AA00001A</v>
      </c>
      <c r="B139" s="8" t="s">
        <v>139</v>
      </c>
    </row>
    <row r="140" spans="1:2" x14ac:dyDescent="0.3">
      <c r="A140" s="5" t="str">
        <f>HYPERLINK("http://www.eatonpowersource.com/products/configure/screw-in%20cartridge%20valves/details/404aa00005a","404AA00005A")</f>
        <v>404AA00005A</v>
      </c>
      <c r="B140" s="6" t="s">
        <v>140</v>
      </c>
    </row>
    <row r="141" spans="1:2" x14ac:dyDescent="0.3">
      <c r="A141" s="7" t="str">
        <f>HYPERLINK("http://www.eatonpowersource.com/products/configure/screw-in%20cartridge%20valves/details/404aa00007a","404AA00007A")</f>
        <v>404AA00007A</v>
      </c>
      <c r="B141" s="8" t="s">
        <v>141</v>
      </c>
    </row>
    <row r="142" spans="1:2" x14ac:dyDescent="0.3">
      <c r="A142" s="5" t="str">
        <f>HYPERLINK("http://www.eatonpowersource.com/products/configure/screw-in%20cartridge%20valves/details/404aa00060a","404AA00060A")</f>
        <v>404AA00060A</v>
      </c>
      <c r="B142" s="6" t="s">
        <v>142</v>
      </c>
    </row>
    <row r="143" spans="1:2" x14ac:dyDescent="0.3">
      <c r="A143" s="7" t="str">
        <f>HYPERLINK("http://www.eatonpowersource.com/products/configure/screw-in%20cartridge%20valves/details/404aa00077a","404AA00077A")</f>
        <v>404AA00077A</v>
      </c>
      <c r="B143" s="8" t="s">
        <v>143</v>
      </c>
    </row>
    <row r="144" spans="1:2" x14ac:dyDescent="0.3">
      <c r="A144" s="5" t="str">
        <f>HYPERLINK("http://www.eatonpowersource.com/products/configure/screw-in%20cartridge%20valves/details/404aa00079a","404AA00079A")</f>
        <v>404AA00079A</v>
      </c>
      <c r="B144" s="6" t="s">
        <v>144</v>
      </c>
    </row>
    <row r="145" spans="1:2" x14ac:dyDescent="0.3">
      <c r="A145" s="7" t="str">
        <f>HYPERLINK("http://www.eatonpowersource.com/products/configure/screw-in%20cartridge%20valves/details/406aa02902a","406AA02902A")</f>
        <v>406AA02902A</v>
      </c>
      <c r="B145" s="8" t="s">
        <v>145</v>
      </c>
    </row>
    <row r="146" spans="1:2" x14ac:dyDescent="0.3">
      <c r="A146" s="5" t="str">
        <f>HYPERLINK("http://www.eatonpowersource.com/products/configure/screw-in%20cartridge%20valves/details/565621","565621")</f>
        <v>565621</v>
      </c>
      <c r="B146" s="6" t="s">
        <v>146</v>
      </c>
    </row>
    <row r="147" spans="1:2" x14ac:dyDescent="0.3">
      <c r="A147" s="7" t="str">
        <f>HYPERLINK("http://www.eatonpowersource.com/products/configure/screw-in%20cartridge%20valves/details/565631","565631")</f>
        <v>565631</v>
      </c>
      <c r="B147" s="8" t="s">
        <v>147</v>
      </c>
    </row>
    <row r="148" spans="1:2" x14ac:dyDescent="0.3">
      <c r="A148" s="5" t="str">
        <f>HYPERLINK("http://www.eatonpowersource.com/products/configure/screw-in%20cartridge%20valves/details/566026","566026")</f>
        <v>566026</v>
      </c>
      <c r="B148" s="6" t="s">
        <v>148</v>
      </c>
    </row>
    <row r="149" spans="1:2" x14ac:dyDescent="0.3">
      <c r="A149" s="7" t="str">
        <f>HYPERLINK("http://www.eatonpowersource.com/products/configure/screw-in%20cartridge%20valves/details/889311","889311")</f>
        <v>889311</v>
      </c>
      <c r="B149" s="8" t="s">
        <v>149</v>
      </c>
    </row>
    <row r="150" spans="1:2" x14ac:dyDescent="0.3">
      <c r="A150" s="5" t="str">
        <f>HYPERLINK("http://www.eatonpowersource.com/products/configure/screw-in%20cartridge%20valves/details/889313","889313")</f>
        <v>889313</v>
      </c>
      <c r="B150" s="6" t="s">
        <v>150</v>
      </c>
    </row>
    <row r="151" spans="1:2" x14ac:dyDescent="0.3">
      <c r="A151" s="7" t="str">
        <f>HYPERLINK("http://www.eatonpowersource.com/products/configure/screw-in%20cartridge%20valves/details/402aa00064a","402AA00064A")</f>
        <v>402AA00064A</v>
      </c>
      <c r="B151" s="8" t="s">
        <v>151</v>
      </c>
    </row>
    <row r="152" spans="1:2" x14ac:dyDescent="0.3">
      <c r="A152" s="5" t="str">
        <f>HYPERLINK("http://www.eatonpowersource.com/products/configure/screw-in%20cartridge%20valves/details/402aa00416a","402AA00416A")</f>
        <v>402AA00416A</v>
      </c>
      <c r="B152" s="6" t="s">
        <v>152</v>
      </c>
    </row>
    <row r="153" spans="1:2" x14ac:dyDescent="0.3">
      <c r="A153" s="7" t="str">
        <f>HYPERLINK("http://www.eatonpowersource.com/products/configure/screw-in%20cartridge%20valves/details/402aa00421a","402AA00421A")</f>
        <v>402AA00421A</v>
      </c>
      <c r="B153" s="8" t="s">
        <v>153</v>
      </c>
    </row>
    <row r="154" spans="1:2" x14ac:dyDescent="0.3">
      <c r="A154" s="5" t="str">
        <f>HYPERLINK("http://www.eatonpowersource.com/products/configure/screw-in%20cartridge%20valves/details/404aa00004a","404AA00004A")</f>
        <v>404AA00004A</v>
      </c>
      <c r="B154" s="6" t="s">
        <v>154</v>
      </c>
    </row>
    <row r="155" spans="1:2" x14ac:dyDescent="0.3">
      <c r="A155" s="7" t="str">
        <f>HYPERLINK("http://www.eatonpowersource.com/products/configure/screw-in%20cartridge%20valves/details/404aa00015a","404AA00015A")</f>
        <v>404AA00015A</v>
      </c>
      <c r="B155" s="8" t="s">
        <v>155</v>
      </c>
    </row>
    <row r="156" spans="1:2" x14ac:dyDescent="0.3">
      <c r="A156" s="5" t="str">
        <f>HYPERLINK("http://www.eatonpowersource.com/products/configure/screw-in%20cartridge%20valves/details/404aa00087a","404AA00087A")</f>
        <v>404AA00087A</v>
      </c>
      <c r="B156" s="6" t="s">
        <v>156</v>
      </c>
    </row>
    <row r="157" spans="1:2" x14ac:dyDescent="0.3">
      <c r="A157" s="7" t="str">
        <f>HYPERLINK("http://www.eatonpowersource.com/products/configure/screw-in%20cartridge%20valves/details/02-160733","02-160733")</f>
        <v>02-160733</v>
      </c>
      <c r="B157" s="8" t="s">
        <v>157</v>
      </c>
    </row>
    <row r="158" spans="1:2" x14ac:dyDescent="0.3">
      <c r="A158" s="5" t="str">
        <f>HYPERLINK("http://www.eatonpowersource.com/products/configure/screw-in%20cartridge%20valves/details/02-160734","02-160734")</f>
        <v>02-160734</v>
      </c>
      <c r="B158" s="6" t="s">
        <v>158</v>
      </c>
    </row>
    <row r="159" spans="1:2" x14ac:dyDescent="0.3">
      <c r="A159" s="7" t="str">
        <f>HYPERLINK("http://www.eatonpowersource.com/products/configure/screw-in%20cartridge%20valves/details/02-160744","02-160744")</f>
        <v>02-160744</v>
      </c>
      <c r="B159" s="8" t="s">
        <v>159</v>
      </c>
    </row>
    <row r="160" spans="1:2" x14ac:dyDescent="0.3">
      <c r="A160" s="5" t="str">
        <f>HYPERLINK("http://www.eatonpowersource.com/products/configure/screw-in%20cartridge%20valves/details/02-160745","02-160745")</f>
        <v>02-160745</v>
      </c>
      <c r="B160" s="6" t="s">
        <v>160</v>
      </c>
    </row>
    <row r="161" spans="1:2" x14ac:dyDescent="0.3">
      <c r="A161" s="7" t="str">
        <f>HYPERLINK("http://www.eatonpowersource.com/products/configure/screw-in%20cartridge%20valves/details/02-160752","02-160752")</f>
        <v>02-160752</v>
      </c>
      <c r="B161" s="8" t="s">
        <v>161</v>
      </c>
    </row>
    <row r="162" spans="1:2" x14ac:dyDescent="0.3">
      <c r="A162" s="5" t="str">
        <f>HYPERLINK("http://www.eatonpowersource.com/products/configure/screw-in%20cartridge%20valves/details/02-163313","02-163313")</f>
        <v>02-163313</v>
      </c>
      <c r="B162" s="6" t="s">
        <v>162</v>
      </c>
    </row>
    <row r="163" spans="1:2" x14ac:dyDescent="0.3">
      <c r="A163" s="7" t="str">
        <f>HYPERLINK("http://www.eatonpowersource.com/products/configure/screw-in%20cartridge%20valves/details/02-169665","02-169665")</f>
        <v>02-169665</v>
      </c>
      <c r="B163" s="8" t="s">
        <v>163</v>
      </c>
    </row>
    <row r="164" spans="1:2" x14ac:dyDescent="0.3">
      <c r="A164" s="5" t="str">
        <f>HYPERLINK("http://www.eatonpowersource.com/products/configure/screw-in%20cartridge%20valves/details/02-169782","02-169782")</f>
        <v>02-169782</v>
      </c>
      <c r="B164" s="6" t="s">
        <v>164</v>
      </c>
    </row>
    <row r="165" spans="1:2" x14ac:dyDescent="0.3">
      <c r="A165" s="7" t="str">
        <f>HYPERLINK("http://www.eatonpowersource.com/products/configure/screw-in%20cartridge%20valves/details/02-169814","02-169814")</f>
        <v>02-169814</v>
      </c>
      <c r="B165" s="8" t="s">
        <v>165</v>
      </c>
    </row>
    <row r="166" spans="1:2" x14ac:dyDescent="0.3">
      <c r="A166" s="5" t="str">
        <f>HYPERLINK("http://www.eatonpowersource.com/products/configure/screw-in%20cartridge%20valves/details/02-172062","02-172062")</f>
        <v>02-172062</v>
      </c>
      <c r="B166" s="6" t="s">
        <v>166</v>
      </c>
    </row>
    <row r="167" spans="1:2" x14ac:dyDescent="0.3">
      <c r="A167" s="7" t="str">
        <f>HYPERLINK("http://www.eatonpowersource.com/products/configure/screw-in%20cartridge%20valves/details/02-175100","02-175100")</f>
        <v>02-175100</v>
      </c>
      <c r="B167" s="8" t="s">
        <v>167</v>
      </c>
    </row>
    <row r="168" spans="1:2" x14ac:dyDescent="0.3">
      <c r="A168" s="5" t="str">
        <f>HYPERLINK("http://www.eatonpowersource.com/products/configure/screw-in%20cartridge%20valves/details/02-175101","02-175101")</f>
        <v>02-175101</v>
      </c>
      <c r="B168" s="6" t="s">
        <v>168</v>
      </c>
    </row>
    <row r="169" spans="1:2" x14ac:dyDescent="0.3">
      <c r="A169" s="7" t="str">
        <f>HYPERLINK("http://www.eatonpowersource.com/products/configure/screw-in%20cartridge%20valves/details/02-175102","02-175102")</f>
        <v>02-175102</v>
      </c>
      <c r="B169" s="8" t="s">
        <v>169</v>
      </c>
    </row>
    <row r="170" spans="1:2" x14ac:dyDescent="0.3">
      <c r="A170" s="5" t="str">
        <f>HYPERLINK("http://www.eatonpowersource.com/products/configure/screw-in%20cartridge%20valves/details/02-175103","02-175103")</f>
        <v>02-175103</v>
      </c>
      <c r="B170" s="6" t="s">
        <v>170</v>
      </c>
    </row>
    <row r="171" spans="1:2" x14ac:dyDescent="0.3">
      <c r="A171" s="7" t="str">
        <f>HYPERLINK("http://www.eatonpowersource.com/products/configure/screw-in%20cartridge%20valves/details/02-175106","02-175106")</f>
        <v>02-175106</v>
      </c>
      <c r="B171" s="8" t="s">
        <v>171</v>
      </c>
    </row>
    <row r="172" spans="1:2" x14ac:dyDescent="0.3">
      <c r="A172" s="5" t="str">
        <f>HYPERLINK("http://www.eatonpowersource.com/products/configure/screw-in%20cartridge%20valves/details/02-175107","02-175107")</f>
        <v>02-175107</v>
      </c>
      <c r="B172" s="6" t="s">
        <v>172</v>
      </c>
    </row>
    <row r="173" spans="1:2" x14ac:dyDescent="0.3">
      <c r="A173" s="7" t="str">
        <f>HYPERLINK("http://www.eatonpowersource.com/products/configure/screw-in%20cartridge%20valves/details/02-175110","02-175110")</f>
        <v>02-175110</v>
      </c>
      <c r="B173" s="8" t="s">
        <v>173</v>
      </c>
    </row>
    <row r="174" spans="1:2" x14ac:dyDescent="0.3">
      <c r="A174" s="5" t="str">
        <f>HYPERLINK("http://www.eatonpowersource.com/products/configure/screw-in%20cartridge%20valves/details/02-175111","02-175111")</f>
        <v>02-175111</v>
      </c>
      <c r="B174" s="6" t="s">
        <v>174</v>
      </c>
    </row>
    <row r="175" spans="1:2" x14ac:dyDescent="0.3">
      <c r="A175" s="7" t="str">
        <f>HYPERLINK("http://www.eatonpowersource.com/products/configure/screw-in%20cartridge%20valves/details/02-175123","02-175123")</f>
        <v>02-175123</v>
      </c>
      <c r="B175" s="8" t="s">
        <v>175</v>
      </c>
    </row>
    <row r="176" spans="1:2" x14ac:dyDescent="0.3">
      <c r="A176" s="5" t="str">
        <f>HYPERLINK("http://www.eatonpowersource.com/products/configure/screw-in%20cartridge%20valves/details/02-175127","02-175127")</f>
        <v>02-175127</v>
      </c>
      <c r="B176" s="6" t="s">
        <v>176</v>
      </c>
    </row>
    <row r="177" spans="1:2" x14ac:dyDescent="0.3">
      <c r="A177" s="7" t="str">
        <f>HYPERLINK("http://www.eatonpowersource.com/products/configure/screw-in%20cartridge%20valves/details/02-175128","02-175128")</f>
        <v>02-175128</v>
      </c>
      <c r="B177" s="8" t="s">
        <v>177</v>
      </c>
    </row>
    <row r="178" spans="1:2" x14ac:dyDescent="0.3">
      <c r="A178" s="5" t="str">
        <f>HYPERLINK("http://www.eatonpowersource.com/products/configure/screw-in%20cartridge%20valves/details/02-175132","02-175132")</f>
        <v>02-175132</v>
      </c>
      <c r="B178" s="6" t="s">
        <v>178</v>
      </c>
    </row>
    <row r="179" spans="1:2" x14ac:dyDescent="0.3">
      <c r="A179" s="7" t="str">
        <f>HYPERLINK("http://www.eatonpowersource.com/products/configure/screw-in%20cartridge%20valves/details/02-185447","02-185447")</f>
        <v>02-185447</v>
      </c>
      <c r="B179" s="8" t="s">
        <v>179</v>
      </c>
    </row>
    <row r="180" spans="1:2" x14ac:dyDescent="0.3">
      <c r="A180" s="5" t="str">
        <f>HYPERLINK("http://www.eatonpowersource.com/products/configure/screw-in%20cartridge%20valves/details/02-350053","02-350053")</f>
        <v>02-350053</v>
      </c>
      <c r="B180" s="6" t="s">
        <v>180</v>
      </c>
    </row>
    <row r="181" spans="1:2" x14ac:dyDescent="0.3">
      <c r="A181" s="7" t="str">
        <f>HYPERLINK("http://www.eatonpowersource.com/products/configure/screw-in%20cartridge%20valves/details/a13615","A13615")</f>
        <v>A13615</v>
      </c>
      <c r="B181" s="8" t="s">
        <v>181</v>
      </c>
    </row>
    <row r="182" spans="1:2" x14ac:dyDescent="0.3">
      <c r="A182" s="5" t="str">
        <f>HYPERLINK("http://www.eatonpowersource.com/products/configure/screw-in%20cartridge%20valves/details/a14128","A14128")</f>
        <v>A14128</v>
      </c>
      <c r="B182" s="6" t="s">
        <v>182</v>
      </c>
    </row>
    <row r="183" spans="1:2" x14ac:dyDescent="0.3">
      <c r="A183" s="7" t="str">
        <f>HYPERLINK("http://www.eatonpowersource.com/products/configure/screw-in%20cartridge%20valves/details/a14175","A14175")</f>
        <v>A14175</v>
      </c>
      <c r="B183" s="8" t="s">
        <v>183</v>
      </c>
    </row>
    <row r="184" spans="1:2" x14ac:dyDescent="0.3">
      <c r="A184" s="5" t="str">
        <f>HYPERLINK("http://www.eatonpowersource.com/products/configure/screw-in%20cartridge%20valves/details/a1882","A1882")</f>
        <v>A1882</v>
      </c>
      <c r="B184" s="6" t="s">
        <v>184</v>
      </c>
    </row>
    <row r="185" spans="1:2" x14ac:dyDescent="0.3">
      <c r="A185" s="7" t="str">
        <f>HYPERLINK("http://www.eatonpowersource.com/products/configure/screw-in%20cartridge%20valves/details/a1883","A1883")</f>
        <v>A1883</v>
      </c>
      <c r="B185" s="8" t="s">
        <v>185</v>
      </c>
    </row>
    <row r="186" spans="1:2" x14ac:dyDescent="0.3">
      <c r="A186" s="5" t="str">
        <f>HYPERLINK("http://www.eatonpowersource.com/products/configure/screw-in%20cartridge%20valves/details/axp24049-8w377","AXP24049-8W377")</f>
        <v>AXP24049-8W377</v>
      </c>
      <c r="B186" s="6" t="s">
        <v>186</v>
      </c>
    </row>
    <row r="187" spans="1:2" x14ac:dyDescent="0.3">
      <c r="A187" s="7" t="str">
        <f>HYPERLINK("http://www.eatonpowersource.com/products/configure/screw-in%20cartridge%20valves/details/axp24053-4ws377","AXP24053-4WS377")</f>
        <v>AXP24053-4WS377</v>
      </c>
      <c r="B187" s="8" t="s">
        <v>187</v>
      </c>
    </row>
    <row r="188" spans="1:2" x14ac:dyDescent="0.3">
      <c r="A188" s="5" t="str">
        <f>HYPERLINK("http://www.eatonpowersource.com/products/configure/screw-in%20cartridge%20valves/details/b 542","B 542")</f>
        <v>B 542</v>
      </c>
      <c r="B188" s="6" t="s">
        <v>188</v>
      </c>
    </row>
    <row r="189" spans="1:2" x14ac:dyDescent="0.3">
      <c r="A189" s="7" t="str">
        <f>HYPERLINK("http://www.eatonpowersource.com/products/configure/screw-in%20cartridge%20valves/details/b 882","B 882")</f>
        <v>B 882</v>
      </c>
      <c r="B189" s="8" t="s">
        <v>189</v>
      </c>
    </row>
    <row r="190" spans="1:2" x14ac:dyDescent="0.3">
      <c r="A190" s="5" t="str">
        <f>HYPERLINK("http://www.eatonpowersource.com/products/configure/screw-in%20cartridge%20valves/details/b11474","B11474")</f>
        <v>B11474</v>
      </c>
      <c r="B190" s="6" t="s">
        <v>190</v>
      </c>
    </row>
    <row r="191" spans="1:2" x14ac:dyDescent="0.3">
      <c r="A191" s="7" t="str">
        <f>HYPERLINK("http://www.eatonpowersource.com/products/configure/screw-in%20cartridge%20valves/details/b12823","B12823")</f>
        <v>B12823</v>
      </c>
      <c r="B191" s="8" t="s">
        <v>191</v>
      </c>
    </row>
    <row r="192" spans="1:2" x14ac:dyDescent="0.3">
      <c r="A192" s="5" t="str">
        <f>HYPERLINK("http://www.eatonpowersource.com/products/configure/screw-in%20cartridge%20valves/details/b13473","B13473")</f>
        <v>B13473</v>
      </c>
      <c r="B192" s="6" t="s">
        <v>192</v>
      </c>
    </row>
    <row r="193" spans="1:2" x14ac:dyDescent="0.3">
      <c r="A193" s="7" t="str">
        <f>HYPERLINK("http://www.eatonpowersource.com/products/configure/screw-in%20cartridge%20valves/details/b13483","B13483")</f>
        <v>B13483</v>
      </c>
      <c r="B193" s="8" t="s">
        <v>193</v>
      </c>
    </row>
    <row r="194" spans="1:2" x14ac:dyDescent="0.3">
      <c r="A194" s="5" t="str">
        <f>HYPERLINK("http://www.eatonpowersource.com/products/configure/screw-in%20cartridge%20valves/details/b13543","B13543")</f>
        <v>B13543</v>
      </c>
      <c r="B194" s="6" t="s">
        <v>194</v>
      </c>
    </row>
    <row r="195" spans="1:2" x14ac:dyDescent="0.3">
      <c r="A195" s="7" t="str">
        <f>HYPERLINK("http://www.eatonpowersource.com/products/configure/screw-in%20cartridge%20valves/details/b13603","B13603")</f>
        <v>B13603</v>
      </c>
      <c r="B195" s="8" t="s">
        <v>195</v>
      </c>
    </row>
    <row r="196" spans="1:2" x14ac:dyDescent="0.3">
      <c r="A196" s="5" t="str">
        <f>HYPERLINK("http://www.eatonpowersource.com/products/configure/screw-in%20cartridge%20valves/details/b13626","B13626")</f>
        <v>B13626</v>
      </c>
      <c r="B196" s="6" t="s">
        <v>196</v>
      </c>
    </row>
    <row r="197" spans="1:2" x14ac:dyDescent="0.3">
      <c r="A197" s="7" t="str">
        <f>HYPERLINK("http://www.eatonpowersource.com/products/configure/screw-in%20cartridge%20valves/details/b13663","B13663")</f>
        <v>B13663</v>
      </c>
      <c r="B197" s="8" t="s">
        <v>197</v>
      </c>
    </row>
    <row r="198" spans="1:2" x14ac:dyDescent="0.3">
      <c r="A198" s="5" t="str">
        <f>HYPERLINK("http://www.eatonpowersource.com/products/configure/screw-in%20cartridge%20valves/details/b13664","B13664")</f>
        <v>B13664</v>
      </c>
      <c r="B198" s="6" t="s">
        <v>198</v>
      </c>
    </row>
    <row r="199" spans="1:2" x14ac:dyDescent="0.3">
      <c r="A199" s="7" t="str">
        <f>HYPERLINK("http://www.eatonpowersource.com/products/configure/screw-in%20cartridge%20valves/details/b13803","B13803")</f>
        <v>B13803</v>
      </c>
      <c r="B199" s="8" t="s">
        <v>199</v>
      </c>
    </row>
    <row r="200" spans="1:2" x14ac:dyDescent="0.3">
      <c r="A200" s="5" t="str">
        <f>HYPERLINK("http://www.eatonpowersource.com/products/configure/screw-in%20cartridge%20valves/details/b13838","B13838")</f>
        <v>B13838</v>
      </c>
      <c r="B200" s="6" t="s">
        <v>200</v>
      </c>
    </row>
    <row r="201" spans="1:2" x14ac:dyDescent="0.3">
      <c r="A201" s="7" t="str">
        <f>HYPERLINK("http://www.eatonpowersource.com/products/configure/screw-in%20cartridge%20valves/details/b16212","B16212")</f>
        <v>B16212</v>
      </c>
      <c r="B201" s="8" t="s">
        <v>201</v>
      </c>
    </row>
    <row r="202" spans="1:2" x14ac:dyDescent="0.3">
      <c r="A202" s="5" t="str">
        <f>HYPERLINK("http://www.eatonpowersource.com/products/configure/screw-in%20cartridge%20valves/details/b17070","B17070")</f>
        <v>B17070</v>
      </c>
      <c r="B202" s="6" t="s">
        <v>202</v>
      </c>
    </row>
    <row r="203" spans="1:2" x14ac:dyDescent="0.3">
      <c r="A203" s="7" t="str">
        <f>HYPERLINK("http://www.eatonpowersource.com/products/configure/screw-in%20cartridge%20valves/details/b19747","B19747")</f>
        <v>B19747</v>
      </c>
      <c r="B203" s="8" t="s">
        <v>203</v>
      </c>
    </row>
    <row r="204" spans="1:2" x14ac:dyDescent="0.3">
      <c r="A204" s="5" t="str">
        <f>HYPERLINK("http://www.eatonpowersource.com/products/configure/screw-in%20cartridge%20valves/details/b20106","B20106")</f>
        <v>B20106</v>
      </c>
      <c r="B204" s="6" t="s">
        <v>204</v>
      </c>
    </row>
    <row r="205" spans="1:2" x14ac:dyDescent="0.3">
      <c r="A205" s="7" t="str">
        <f>HYPERLINK("http://www.eatonpowersource.com/products/configure/screw-in%20cartridge%20valves/details/b20108","B20108")</f>
        <v>B20108</v>
      </c>
      <c r="B205" s="8" t="s">
        <v>205</v>
      </c>
    </row>
    <row r="206" spans="1:2" x14ac:dyDescent="0.3">
      <c r="A206" s="5" t="str">
        <f>HYPERLINK("http://www.eatonpowersource.com/products/configure/screw-in%20cartridge%20valves/details/b20520","B20520")</f>
        <v>B20520</v>
      </c>
      <c r="B206" s="6" t="s">
        <v>206</v>
      </c>
    </row>
    <row r="207" spans="1:2" x14ac:dyDescent="0.3">
      <c r="A207" s="7" t="str">
        <f>HYPERLINK("http://www.eatonpowersource.com/products/configure/screw-in%20cartridge%20valves/details/b20599","B20599")</f>
        <v>B20599</v>
      </c>
      <c r="B207" s="8" t="s">
        <v>207</v>
      </c>
    </row>
    <row r="208" spans="1:2" x14ac:dyDescent="0.3">
      <c r="A208" s="5" t="str">
        <f>HYPERLINK("http://www.eatonpowersource.com/products/configure/screw-in%20cartridge%20valves/details/b22262","B22262")</f>
        <v>B22262</v>
      </c>
      <c r="B208" s="6" t="s">
        <v>208</v>
      </c>
    </row>
    <row r="209" spans="1:2" x14ac:dyDescent="0.3">
      <c r="A209" s="7" t="str">
        <f>HYPERLINK("http://www.eatonpowersource.com/products/configure/screw-in%20cartridge%20valves/details/b24062","B24062")</f>
        <v>B24062</v>
      </c>
      <c r="B209" s="8" t="s">
        <v>209</v>
      </c>
    </row>
    <row r="210" spans="1:2" x14ac:dyDescent="0.3">
      <c r="A210" s="5" t="str">
        <f>HYPERLINK("http://www.eatonpowersource.com/products/configure/screw-in%20cartridge%20valves/details/b24254","B24254")</f>
        <v>B24254</v>
      </c>
      <c r="B210" s="6" t="s">
        <v>210</v>
      </c>
    </row>
    <row r="211" spans="1:2" x14ac:dyDescent="0.3">
      <c r="A211" s="7" t="str">
        <f>HYPERLINK("http://www.eatonpowersource.com/products/configure/screw-in%20cartridge%20valves/details/b24260","B24260")</f>
        <v>B24260</v>
      </c>
      <c r="B211" s="8" t="s">
        <v>211</v>
      </c>
    </row>
    <row r="212" spans="1:2" x14ac:dyDescent="0.3">
      <c r="A212" s="5" t="str">
        <f>HYPERLINK("http://www.eatonpowersource.com/products/configure/screw-in%20cartridge%20valves/details/b3497","B3497")</f>
        <v>B3497</v>
      </c>
      <c r="B212" s="6" t="s">
        <v>212</v>
      </c>
    </row>
    <row r="213" spans="1:2" x14ac:dyDescent="0.3">
      <c r="A213" s="7" t="str">
        <f>HYPERLINK("http://www.eatonpowersource.com/products/configure/screw-in%20cartridge%20valves/details/b4378","B4378")</f>
        <v>B4378</v>
      </c>
      <c r="B213" s="8" t="s">
        <v>213</v>
      </c>
    </row>
    <row r="214" spans="1:2" x14ac:dyDescent="0.3">
      <c r="A214" s="5" t="str">
        <f>HYPERLINK("http://www.eatonpowersource.com/products/configure/screw-in%20cartridge%20valves/details/b4403","B4403")</f>
        <v>B4403</v>
      </c>
      <c r="B214" s="6" t="s">
        <v>214</v>
      </c>
    </row>
    <row r="215" spans="1:2" x14ac:dyDescent="0.3">
      <c r="A215" s="7" t="str">
        <f>HYPERLINK("http://www.eatonpowersource.com/products/configure/screw-in%20cartridge%20valves/details/b4527","B4527")</f>
        <v>B4527</v>
      </c>
      <c r="B215" s="8" t="s">
        <v>215</v>
      </c>
    </row>
    <row r="216" spans="1:2" x14ac:dyDescent="0.3">
      <c r="A216" s="5" t="str">
        <f>HYPERLINK("http://www.eatonpowersource.com/products/configure/screw-in%20cartridge%20valves/details/b4596","B4596")</f>
        <v>B4596</v>
      </c>
      <c r="B216" s="6" t="s">
        <v>216</v>
      </c>
    </row>
    <row r="217" spans="1:2" x14ac:dyDescent="0.3">
      <c r="A217" s="7" t="str">
        <f>HYPERLINK("http://www.eatonpowersource.com/products/configure/screw-in%20cartridge%20valves/details/b5544","B5544")</f>
        <v>B5544</v>
      </c>
      <c r="B217" s="8" t="s">
        <v>217</v>
      </c>
    </row>
    <row r="218" spans="1:2" x14ac:dyDescent="0.3">
      <c r="A218" s="5" t="str">
        <f>HYPERLINK("http://www.eatonpowersource.com/products/configure/screw-in%20cartridge%20valves/details/b5614","B5614")</f>
        <v>B5614</v>
      </c>
      <c r="B218" s="6" t="s">
        <v>218</v>
      </c>
    </row>
    <row r="219" spans="1:2" x14ac:dyDescent="0.3">
      <c r="A219" s="7" t="str">
        <f>HYPERLINK("http://www.eatonpowersource.com/products/configure/screw-in%20cartridge%20valves/details/b8610","B8610")</f>
        <v>B8610</v>
      </c>
      <c r="B219" s="8" t="s">
        <v>219</v>
      </c>
    </row>
    <row r="220" spans="1:2" x14ac:dyDescent="0.3">
      <c r="A220" s="5" t="str">
        <f>HYPERLINK("http://www.eatonpowersource.com/products/configure/screw-in%20cartridge%20valves/details/b8627","B8627")</f>
        <v>B8627</v>
      </c>
      <c r="B220" s="6" t="s">
        <v>220</v>
      </c>
    </row>
    <row r="221" spans="1:2" x14ac:dyDescent="0.3">
      <c r="A221" s="7" t="str">
        <f>HYPERLINK("http://www.eatonpowersource.com/products/configure/screw-in%20cartridge%20valves/details/b9075","B9075")</f>
        <v>B9075</v>
      </c>
      <c r="B221" s="8" t="s">
        <v>221</v>
      </c>
    </row>
    <row r="222" spans="1:2" x14ac:dyDescent="0.3">
      <c r="A222" s="5" t="str">
        <f>HYPERLINK("http://www.eatonpowersource.com/products/configure/screw-in%20cartridge%20valves/details/bxp11814","BXP11814")</f>
        <v>BXP11814</v>
      </c>
      <c r="B222" s="6" t="s">
        <v>222</v>
      </c>
    </row>
    <row r="223" spans="1:2" x14ac:dyDescent="0.3">
      <c r="A223" s="7" t="str">
        <f>HYPERLINK("http://www.eatonpowersource.com/products/configure/screw-in%20cartridge%20valves/details/bxp13634-6ws377","BXP13634-6WS377")</f>
        <v>BXP13634-6WS377</v>
      </c>
      <c r="B223" s="8" t="s">
        <v>223</v>
      </c>
    </row>
    <row r="224" spans="1:2" x14ac:dyDescent="0.3">
      <c r="A224" s="5" t="str">
        <f>HYPERLINK("http://www.eatonpowersource.com/products/configure/screw-in%20cartridge%20valves/details/bxp15687-8ws377","BXP15687-8WS377")</f>
        <v>BXP15687-8WS377</v>
      </c>
      <c r="B224" s="6" t="s">
        <v>224</v>
      </c>
    </row>
    <row r="225" spans="1:2" x14ac:dyDescent="0.3">
      <c r="A225" s="7" t="str">
        <f>HYPERLINK("http://www.eatonpowersource.com/products/configure/screw-in%20cartridge%20valves/details/bxp15930-8ws377","BXP15930-8WS377")</f>
        <v>BXP15930-8WS377</v>
      </c>
      <c r="B225" s="8" t="s">
        <v>225</v>
      </c>
    </row>
    <row r="226" spans="1:2" x14ac:dyDescent="0.3">
      <c r="A226" s="5" t="str">
        <f>HYPERLINK("http://www.eatonpowersource.com/products/configure/screw-in%20cartridge%20valves/details/bxp15936-6ws377","BXP15936-6WS377")</f>
        <v>BXP15936-6WS377</v>
      </c>
      <c r="B226" s="6" t="s">
        <v>226</v>
      </c>
    </row>
    <row r="227" spans="1:2" x14ac:dyDescent="0.3">
      <c r="A227" s="7" t="str">
        <f>HYPERLINK("http://www.eatonpowersource.com/products/configure/screw-in%20cartridge%20valves/details/bxp15939-3ws377","BXP15939-3WS377")</f>
        <v>BXP15939-3WS377</v>
      </c>
      <c r="B227" s="8" t="s">
        <v>227</v>
      </c>
    </row>
    <row r="228" spans="1:2" x14ac:dyDescent="0.3">
      <c r="A228" s="5" t="str">
        <f>HYPERLINK("http://www.eatonpowersource.com/products/configure/screw-in%20cartridge%20valves/details/bxp15947-3ws-377","BXP15947-3WS-377")</f>
        <v>BXP15947-3WS-377</v>
      </c>
      <c r="B228" s="6" t="s">
        <v>228</v>
      </c>
    </row>
    <row r="229" spans="1:2" x14ac:dyDescent="0.3">
      <c r="A229" s="7" t="str">
        <f>HYPERLINK("http://www.eatonpowersource.com/products/configure/screw-in%20cartridge%20valves/details/bxp16247-3ws377","BXP16247-3WS377")</f>
        <v>BXP16247-3WS377</v>
      </c>
      <c r="B229" s="8" t="s">
        <v>229</v>
      </c>
    </row>
    <row r="230" spans="1:2" x14ac:dyDescent="0.3">
      <c r="A230" s="5" t="str">
        <f>HYPERLINK("http://www.eatonpowersource.com/products/configure/screw-in%20cartridge%20valves/details/bxp16248-6ws377","BXP16248-6WS377")</f>
        <v>BXP16248-6WS377</v>
      </c>
      <c r="B230" s="6" t="s">
        <v>230</v>
      </c>
    </row>
    <row r="231" spans="1:2" x14ac:dyDescent="0.3">
      <c r="A231" s="7" t="str">
        <f>HYPERLINK("http://www.eatonpowersource.com/products/configure/screw-in%20cartridge%20valves/details/bxp16996-4ws377","BXP16996-4WS377")</f>
        <v>BXP16996-4WS377</v>
      </c>
      <c r="B231" s="8" t="s">
        <v>231</v>
      </c>
    </row>
    <row r="232" spans="1:2" x14ac:dyDescent="0.3">
      <c r="A232" s="5" t="str">
        <f>HYPERLINK("http://www.eatonpowersource.com/products/configure/screw-in%20cartridge%20valves/details/bxp16996-6ws377","BXP16996-6WS377")</f>
        <v>BXP16996-6WS377</v>
      </c>
      <c r="B232" s="6" t="s">
        <v>232</v>
      </c>
    </row>
    <row r="233" spans="1:2" x14ac:dyDescent="0.3">
      <c r="A233" s="7" t="str">
        <f>HYPERLINK("http://www.eatonpowersource.com/products/configure/screw-in%20cartridge%20valves/details/bxp17429-6ws377","BXP17429-6WS377")</f>
        <v>BXP17429-6WS377</v>
      </c>
      <c r="B233" s="8" t="s">
        <v>233</v>
      </c>
    </row>
    <row r="234" spans="1:2" x14ac:dyDescent="0.3">
      <c r="A234" s="5" t="str">
        <f>HYPERLINK("http://www.eatonpowersource.com/products/configure/screw-in%20cartridge%20valves/details/bxp21096-3ws-377","BXP21096-3WS-377")</f>
        <v>BXP21096-3WS-377</v>
      </c>
      <c r="B234" s="6" t="s">
        <v>234</v>
      </c>
    </row>
    <row r="235" spans="1:2" x14ac:dyDescent="0.3">
      <c r="A235" s="7" t="str">
        <f>HYPERLINK("http://www.eatonpowersource.com/products/configure/screw-in%20cartridge%20valves/details/bxp21795-3ws377","BXP21795-3WS377")</f>
        <v>BXP21795-3WS377</v>
      </c>
      <c r="B235" s="8" t="s">
        <v>235</v>
      </c>
    </row>
    <row r="236" spans="1:2" x14ac:dyDescent="0.3">
      <c r="A236" s="5" t="str">
        <f>HYPERLINK("http://www.eatonpowersource.com/products/configure/screw-in%20cartridge%20valves/details/bxp23466-8ws377","BXP23466-8WS377")</f>
        <v>BXP23466-8WS377</v>
      </c>
      <c r="B236" s="6" t="s">
        <v>236</v>
      </c>
    </row>
    <row r="237" spans="1:2" x14ac:dyDescent="0.3">
      <c r="A237" s="7" t="str">
        <f>HYPERLINK("http://www.eatonpowersource.com/products/configure/screw-in%20cartridge%20valves/details/bxp23867-6ws377","BXP23867-6WS377")</f>
        <v>BXP23867-6WS377</v>
      </c>
      <c r="B237" s="8" t="s">
        <v>237</v>
      </c>
    </row>
    <row r="238" spans="1:2" x14ac:dyDescent="0.3">
      <c r="A238" s="5" t="str">
        <f>HYPERLINK("http://www.eatonpowersource.com/products/configure/screw-in%20cartridge%20valves/details/bxp24046-4ws377","BXP24046-4WS377")</f>
        <v>BXP24046-4WS377</v>
      </c>
      <c r="B238" s="6" t="s">
        <v>238</v>
      </c>
    </row>
    <row r="239" spans="1:2" x14ac:dyDescent="0.3">
      <c r="A239" s="7" t="str">
        <f>HYPERLINK("http://www.eatonpowersource.com/products/configure/screw-in%20cartridge%20valves/details/bxp24047-10ws377","BXP24047-10WS377")</f>
        <v>BXP24047-10WS377</v>
      </c>
      <c r="B239" s="8" t="s">
        <v>239</v>
      </c>
    </row>
    <row r="240" spans="1:2" x14ac:dyDescent="0.3">
      <c r="A240" s="5" t="str">
        <f>HYPERLINK("http://www.eatonpowersource.com/products/configure/screw-in%20cartridge%20valves/details/bxp24051-6w4ws377","BXP24051-6W4WS377")</f>
        <v>BXP24051-6W4WS377</v>
      </c>
      <c r="B240" s="6" t="s">
        <v>240</v>
      </c>
    </row>
    <row r="241" spans="1:2" x14ac:dyDescent="0.3">
      <c r="A241" s="7" t="str">
        <f>HYPERLINK("http://www.eatonpowersource.com/products/configure/screw-in%20cartridge%20valves/details/bxp24101-8ws377","BXP24101-8WS377")</f>
        <v>BXP24101-8WS377</v>
      </c>
      <c r="B241" s="8" t="s">
        <v>241</v>
      </c>
    </row>
    <row r="242" spans="1:2" x14ac:dyDescent="0.3">
      <c r="A242" s="5" t="str">
        <f>HYPERLINK("http://www.eatonpowersource.com/products/configure/screw-in%20cartridge%20valves/details/bxp24103-4ws377","BXP24103-4WS377")</f>
        <v>BXP24103-4WS377</v>
      </c>
      <c r="B242" s="6" t="s">
        <v>242</v>
      </c>
    </row>
    <row r="243" spans="1:2" x14ac:dyDescent="0.3">
      <c r="A243" s="7" t="str">
        <f>HYPERLINK("http://www.eatonpowersource.com/products/configure/screw-in%20cartridge%20valves/details/bxp24147-3ws377","BXP24147-3WS377")</f>
        <v>BXP24147-3WS377</v>
      </c>
      <c r="B243" s="8" t="s">
        <v>243</v>
      </c>
    </row>
    <row r="244" spans="1:2" x14ac:dyDescent="0.3">
      <c r="A244" s="5" t="str">
        <f>HYPERLINK("http://www.eatonpowersource.com/products/configure/screw-in%20cartridge%20valves/details/bxp9151-02","BXP9151-02")</f>
        <v>BXP9151-02</v>
      </c>
      <c r="B244" s="6" t="s">
        <v>244</v>
      </c>
    </row>
    <row r="245" spans="1:2" x14ac:dyDescent="0.3">
      <c r="A245" s="7" t="str">
        <f>HYPERLINK("http://www.eatonpowersource.com/products/configure/screw-in%20cartridge%20valves/details/bxp9209-02","BXP9209-02")</f>
        <v>BXP9209-02</v>
      </c>
      <c r="B245" s="8" t="s">
        <v>245</v>
      </c>
    </row>
    <row r="246" spans="1:2" x14ac:dyDescent="0.3">
      <c r="A246" s="5" t="str">
        <f>HYPERLINK("http://www.eatonpowersource.com/products/configure/screw-in%20cartridge%20valves/details/c 593","C 593")</f>
        <v>C 593</v>
      </c>
      <c r="B246" s="6" t="s">
        <v>246</v>
      </c>
    </row>
    <row r="247" spans="1:2" x14ac:dyDescent="0.3">
      <c r="A247" s="7" t="str">
        <f>HYPERLINK("http://www.eatonpowersource.com/products/configure/screw-in%20cartridge%20valves/details/c1083","C1083")</f>
        <v>C1083</v>
      </c>
      <c r="B247" s="8" t="s">
        <v>247</v>
      </c>
    </row>
    <row r="248" spans="1:2" x14ac:dyDescent="0.3">
      <c r="A248" s="5" t="str">
        <f>HYPERLINK("http://www.eatonpowersource.com/products/configure/screw-in%20cartridge%20valves/details/c1200","C1200")</f>
        <v>C1200</v>
      </c>
      <c r="B248" s="6" t="s">
        <v>248</v>
      </c>
    </row>
    <row r="249" spans="1:2" x14ac:dyDescent="0.3">
      <c r="A249" s="7" t="str">
        <f>HYPERLINK("http://www.eatonpowersource.com/products/configure/screw-in%20cartridge%20valves/details/c13628","C13628")</f>
        <v>C13628</v>
      </c>
      <c r="B249" s="8" t="s">
        <v>249</v>
      </c>
    </row>
    <row r="250" spans="1:2" x14ac:dyDescent="0.3">
      <c r="A250" s="5" t="str">
        <f>HYPERLINK("http://www.eatonpowersource.com/products/configure/screw-in%20cartridge%20valves/details/c18854","C18854")</f>
        <v>C18854</v>
      </c>
      <c r="B250" s="6" t="s">
        <v>250</v>
      </c>
    </row>
    <row r="251" spans="1:2" x14ac:dyDescent="0.3">
      <c r="A251" s="7" t="str">
        <f>HYPERLINK("http://www.eatonpowersource.com/products/configure/screw-in%20cartridge%20valves/details/c19901","C19901")</f>
        <v>C19901</v>
      </c>
      <c r="B251" s="8" t="s">
        <v>251</v>
      </c>
    </row>
    <row r="252" spans="1:2" x14ac:dyDescent="0.3">
      <c r="A252" s="5" t="str">
        <f>HYPERLINK("http://www.eatonpowersource.com/products/configure/screw-in%20cartridge%20valves/details/c20287","C20287")</f>
        <v>C20287</v>
      </c>
      <c r="B252" s="6" t="s">
        <v>252</v>
      </c>
    </row>
    <row r="253" spans="1:2" x14ac:dyDescent="0.3">
      <c r="A253" s="7" t="str">
        <f>HYPERLINK("http://www.eatonpowersource.com/products/configure/screw-in%20cartridge%20valves/details/c24006","C24006")</f>
        <v>C24006</v>
      </c>
      <c r="B253" s="8" t="s">
        <v>253</v>
      </c>
    </row>
    <row r="254" spans="1:2" x14ac:dyDescent="0.3">
      <c r="A254" s="5" t="str">
        <f>HYPERLINK("http://www.eatonpowersource.com/products/configure/screw-in%20cartridge%20valves/details/c4917","C4917")</f>
        <v>C4917</v>
      </c>
      <c r="B254" s="6" t="s">
        <v>254</v>
      </c>
    </row>
    <row r="255" spans="1:2" x14ac:dyDescent="0.3">
      <c r="A255" s="7" t="str">
        <f>HYPERLINK("http://www.eatonpowersource.com/products/configure/screw-in%20cartridge%20valves/details/c8705","C8705")</f>
        <v>C8705</v>
      </c>
      <c r="B255" s="8" t="s">
        <v>255</v>
      </c>
    </row>
    <row r="256" spans="1:2" x14ac:dyDescent="0.3">
      <c r="A256" s="5" t="str">
        <f>HYPERLINK("http://www.eatonpowersource.com/products/configure/screw-in%20cartridge%20valves/details/cxp15933-8ws377","CXP15933-8WS377")</f>
        <v>CXP15933-8WS377</v>
      </c>
      <c r="B256" s="6" t="s">
        <v>256</v>
      </c>
    </row>
    <row r="257" spans="1:2" x14ac:dyDescent="0.3">
      <c r="A257" s="7" t="str">
        <f>HYPERLINK("http://www.eatonpowersource.com/products/configure/screw-in%20cartridge%20valves/details/cxp21694-6ws377","CXP21694-6WS377")</f>
        <v>CXP21694-6WS377</v>
      </c>
      <c r="B257" s="8" t="s">
        <v>257</v>
      </c>
    </row>
    <row r="258" spans="1:2" x14ac:dyDescent="0.3">
      <c r="A258" s="5" t="str">
        <f>HYPERLINK("http://www.eatonpowersource.com/products/configure/screw-in%20cartridge%20valves/details/cxp22297-10ws377","CXP22297-10WS377")</f>
        <v>CXP22297-10WS377</v>
      </c>
      <c r="B258" s="6" t="s">
        <v>258</v>
      </c>
    </row>
    <row r="259" spans="1:2" x14ac:dyDescent="0.3">
      <c r="A259" s="7" t="str">
        <f>HYPERLINK("http://www.eatonpowersource.com/products/configure/screw-in%20cartridge%20valves/details/cxp22496-16ts377","CXP22496-16TS377")</f>
        <v>CXP22496-16TS377</v>
      </c>
      <c r="B259" s="8" t="s">
        <v>259</v>
      </c>
    </row>
    <row r="260" spans="1:2" x14ac:dyDescent="0.3">
      <c r="A260" s="5" t="str">
        <f>HYPERLINK("http://www.eatonpowersource.com/products/configure/screw-in%20cartridge%20valves/details/dxp16844-10ws377","DXP16844-10WS377")</f>
        <v>DXP16844-10WS377</v>
      </c>
      <c r="B260" s="6" t="s">
        <v>260</v>
      </c>
    </row>
    <row r="261" spans="1:2" x14ac:dyDescent="0.3">
      <c r="A261" s="7" t="str">
        <f>HYPERLINK("http://www.eatonpowersource.com/products/configure/screw-in%20cartridge%20valves/details/dxp22047-10ws377","DXP22047-10WS377")</f>
        <v>DXP22047-10WS377</v>
      </c>
      <c r="B261" s="8" t="s">
        <v>261</v>
      </c>
    </row>
    <row r="262" spans="1:2" x14ac:dyDescent="0.3">
      <c r="A262" s="5" t="str">
        <f>HYPERLINK("http://www.eatonpowersource.com/products/configure/screw-in%20cartridge%20valves/details/bxp16302-4ws377","BXP16302-4WS377")</f>
        <v>BXP16302-4WS377</v>
      </c>
      <c r="B262" s="6" t="s">
        <v>262</v>
      </c>
    </row>
    <row r="263" spans="1:2" x14ac:dyDescent="0.3">
      <c r="A263" s="7" t="str">
        <f>HYPERLINK("http://www.eatonpowersource.com/products/configure/screw-in%20cartridge%20valves/details/fpr1/2-0.5bar","FPR1/2-0.5BAR")</f>
        <v>FPR1/2-0.5BAR</v>
      </c>
      <c r="B263" s="8" t="s">
        <v>263</v>
      </c>
    </row>
    <row r="264" spans="1:2" x14ac:dyDescent="0.3">
      <c r="A264" s="5" t="str">
        <f>HYPERLINK("http://www.eatonpowersource.com/products/configure/screw-in%20cartridge%20valves/details/fpr1/2-10bar","FPR1/2-10BAR")</f>
        <v>FPR1/2-10BAR</v>
      </c>
      <c r="B264" s="6" t="s">
        <v>264</v>
      </c>
    </row>
    <row r="265" spans="1:2" x14ac:dyDescent="0.3">
      <c r="A265" s="7" t="str">
        <f>HYPERLINK("http://www.eatonpowersource.com/products/configure/screw-in%20cartridge%20valves/details/fpr1/2-1bar","FPR1/2-1BAR")</f>
        <v>FPR1/2-1BAR</v>
      </c>
      <c r="B265" s="8" t="s">
        <v>265</v>
      </c>
    </row>
    <row r="266" spans="1:2" x14ac:dyDescent="0.3">
      <c r="A266" s="5" t="str">
        <f>HYPERLINK("http://www.eatonpowersource.com/products/configure/screw-in%20cartridge%20valves/details/fpr1/2-2.5bar","FPR1/2-2.5BAR")</f>
        <v>FPR1/2-2.5BAR</v>
      </c>
      <c r="B266" s="6" t="s">
        <v>265</v>
      </c>
    </row>
    <row r="267" spans="1:2" x14ac:dyDescent="0.3">
      <c r="A267" s="7" t="str">
        <f>HYPERLINK("http://www.eatonpowersource.com/products/configure/screw-in%20cartridge%20valves/details/fpr1/2-5bar","FPR1/2-5BAR")</f>
        <v>FPR1/2-5BAR</v>
      </c>
      <c r="B267" s="8" t="s">
        <v>265</v>
      </c>
    </row>
    <row r="268" spans="1:2" x14ac:dyDescent="0.3">
      <c r="A268" s="5" t="str">
        <f>HYPERLINK("http://www.eatonpowersource.com/products/configure/screw-in%20cartridge%20valves/details/fpr1/4-0.5bar","FPR1/4-0.5BAR")</f>
        <v>FPR1/4-0.5BAR</v>
      </c>
      <c r="B268" s="6" t="s">
        <v>263</v>
      </c>
    </row>
    <row r="269" spans="1:2" x14ac:dyDescent="0.3">
      <c r="A269" s="7" t="str">
        <f>HYPERLINK("http://www.eatonpowersource.com/products/configure/screw-in%20cartridge%20valves/details/fpr1/4-10bar","FPR1/4-10BAR")</f>
        <v>FPR1/4-10BAR</v>
      </c>
      <c r="B269" s="8" t="s">
        <v>265</v>
      </c>
    </row>
    <row r="270" spans="1:2" x14ac:dyDescent="0.3">
      <c r="A270" s="5" t="str">
        <f>HYPERLINK("http://www.eatonpowersource.com/products/configure/screw-in%20cartridge%20valves/details/fpr1/4-1bar","FPR1/4-1BAR")</f>
        <v>FPR1/4-1BAR</v>
      </c>
      <c r="B270" s="6" t="s">
        <v>265</v>
      </c>
    </row>
    <row r="271" spans="1:2" x14ac:dyDescent="0.3">
      <c r="A271" s="7" t="str">
        <f>HYPERLINK("http://www.eatonpowersource.com/products/configure/screw-in%20cartridge%20valves/details/fpr1-0.5bar","FPR1-0.5BAR")</f>
        <v>FPR1-0.5BAR</v>
      </c>
      <c r="B271" s="8" t="s">
        <v>263</v>
      </c>
    </row>
    <row r="272" spans="1:2" x14ac:dyDescent="0.3">
      <c r="A272" s="5" t="str">
        <f>HYPERLINK("http://www.eatonpowersource.com/products/configure/screw-in%20cartridge%20valves/details/fpr11/2-0.5bar","FPR11/2-0.5BAR")</f>
        <v>FPR11/2-0.5BAR</v>
      </c>
      <c r="B272" s="6" t="s">
        <v>263</v>
      </c>
    </row>
    <row r="273" spans="1:2" x14ac:dyDescent="0.3">
      <c r="A273" s="7" t="str">
        <f>HYPERLINK("http://www.eatonpowersource.com/products/configure/screw-in%20cartridge%20valves/details/fpr11/2-10bar","FPR11/2-10BAR")</f>
        <v>FPR11/2-10BAR</v>
      </c>
      <c r="B273" s="8" t="s">
        <v>265</v>
      </c>
    </row>
    <row r="274" spans="1:2" x14ac:dyDescent="0.3">
      <c r="A274" s="5" t="str">
        <f>HYPERLINK("http://www.eatonpowersource.com/products/configure/screw-in%20cartridge%20valves/details/fpr11/2-1bar","FPR11/2-1BAR")</f>
        <v>FPR11/2-1BAR</v>
      </c>
      <c r="B274" s="6" t="s">
        <v>265</v>
      </c>
    </row>
    <row r="275" spans="1:2" x14ac:dyDescent="0.3">
      <c r="A275" s="7" t="str">
        <f>HYPERLINK("http://www.eatonpowersource.com/products/configure/screw-in%20cartridge%20valves/details/fpr11/2-2.5bar","FPR11/2-2.5BAR")</f>
        <v>FPR11/2-2.5BAR</v>
      </c>
      <c r="B275" s="8" t="s">
        <v>265</v>
      </c>
    </row>
    <row r="276" spans="1:2" x14ac:dyDescent="0.3">
      <c r="A276" s="5" t="str">
        <f>HYPERLINK("http://www.eatonpowersource.com/products/configure/screw-in%20cartridge%20valves/details/fpr11/2-5bar","FPR11/2-5BAR")</f>
        <v>FPR11/2-5BAR</v>
      </c>
      <c r="B276" s="6" t="s">
        <v>265</v>
      </c>
    </row>
    <row r="277" spans="1:2" x14ac:dyDescent="0.3">
      <c r="A277" s="7" t="str">
        <f>HYPERLINK("http://www.eatonpowersource.com/products/configure/screw-in%20cartridge%20valves/details/fpr11/4-0.5bar","FPR11/4-0.5BAR")</f>
        <v>FPR11/4-0.5BAR</v>
      </c>
      <c r="B277" s="8" t="s">
        <v>263</v>
      </c>
    </row>
    <row r="278" spans="1:2" x14ac:dyDescent="0.3">
      <c r="A278" s="5" t="str">
        <f>HYPERLINK("http://www.eatonpowersource.com/products/configure/screw-in%20cartridge%20valves/details/fpr11/4-10bar","FPR11/4-10BAR")</f>
        <v>FPR11/4-10BAR</v>
      </c>
      <c r="B278" s="6" t="s">
        <v>265</v>
      </c>
    </row>
    <row r="279" spans="1:2" x14ac:dyDescent="0.3">
      <c r="A279" s="7" t="str">
        <f>HYPERLINK("http://www.eatonpowersource.com/products/configure/screw-in%20cartridge%20valves/details/fpr11/4-1bar","FPR11/4-1BAR")</f>
        <v>FPR11/4-1BAR</v>
      </c>
      <c r="B279" s="8" t="s">
        <v>265</v>
      </c>
    </row>
    <row r="280" spans="1:2" x14ac:dyDescent="0.3">
      <c r="A280" s="5" t="str">
        <f>HYPERLINK("http://www.eatonpowersource.com/products/configure/screw-in%20cartridge%20valves/details/fpr11/4-2.5bar","FPR11/4-2.5BAR")</f>
        <v>FPR11/4-2.5BAR</v>
      </c>
      <c r="B280" s="6" t="s">
        <v>265</v>
      </c>
    </row>
    <row r="281" spans="1:2" x14ac:dyDescent="0.3">
      <c r="A281" s="7" t="str">
        <f>HYPERLINK("http://www.eatonpowersource.com/products/configure/screw-in%20cartridge%20valves/details/fpr1-10bar","FPR1-10BAR")</f>
        <v>FPR1-10BAR</v>
      </c>
      <c r="B281" s="8" t="s">
        <v>265</v>
      </c>
    </row>
    <row r="282" spans="1:2" x14ac:dyDescent="0.3">
      <c r="A282" s="5" t="str">
        <f>HYPERLINK("http://www.eatonpowersource.com/products/configure/screw-in%20cartridge%20valves/details/fpr1-1bar","FPR1-1BAR")</f>
        <v>FPR1-1BAR</v>
      </c>
      <c r="B282" s="6" t="s">
        <v>265</v>
      </c>
    </row>
    <row r="283" spans="1:2" x14ac:dyDescent="0.3">
      <c r="A283" s="7" t="str">
        <f>HYPERLINK("http://www.eatonpowersource.com/products/configure/screw-in%20cartridge%20valves/details/fpr1-2.5bar","FPR1-2.5BAR")</f>
        <v>FPR1-2.5BAR</v>
      </c>
      <c r="B283" s="8" t="s">
        <v>265</v>
      </c>
    </row>
    <row r="284" spans="1:2" x14ac:dyDescent="0.3">
      <c r="A284" s="5" t="str">
        <f>HYPERLINK("http://www.eatonpowersource.com/products/configure/screw-in%20cartridge%20valves/details/fpr1-4bar","FPR1-4BAR")</f>
        <v>FPR1-4BAR</v>
      </c>
      <c r="B284" s="6" t="s">
        <v>265</v>
      </c>
    </row>
    <row r="285" spans="1:2" x14ac:dyDescent="0.3">
      <c r="A285" s="7" t="str">
        <f>HYPERLINK("http://www.eatonpowersource.com/products/configure/screw-in%20cartridge%20valves/details/fpr1-5bar","FPR1-5BAR")</f>
        <v>FPR1-5BAR</v>
      </c>
      <c r="B285" s="8" t="s">
        <v>265</v>
      </c>
    </row>
    <row r="286" spans="1:2" x14ac:dyDescent="0.3">
      <c r="A286" s="5" t="str">
        <f>HYPERLINK("http://www.eatonpowersource.com/products/configure/screw-in%20cartridge%20valves/details/fpr3/4-0.5bar","FPR3/4-0.5BAR")</f>
        <v>FPR3/4-0.5BAR</v>
      </c>
      <c r="B286" s="6" t="s">
        <v>263</v>
      </c>
    </row>
    <row r="287" spans="1:2" x14ac:dyDescent="0.3">
      <c r="A287" s="7" t="str">
        <f>HYPERLINK("http://www.eatonpowersource.com/products/configure/screw-in%20cartridge%20valves/details/fpr3/4-10bar","FPR3/4-10BAR")</f>
        <v>FPR3/4-10BAR</v>
      </c>
      <c r="B287" s="8" t="s">
        <v>265</v>
      </c>
    </row>
    <row r="288" spans="1:2" x14ac:dyDescent="0.3">
      <c r="A288" s="5" t="str">
        <f>HYPERLINK("http://www.eatonpowersource.com/products/configure/screw-in%20cartridge%20valves/details/fpr3/4-1bar","FPR3/4-1BAR")</f>
        <v>FPR3/4-1BAR</v>
      </c>
      <c r="B288" s="6" t="s">
        <v>265</v>
      </c>
    </row>
    <row r="289" spans="1:2" x14ac:dyDescent="0.3">
      <c r="A289" s="7" t="str">
        <f>HYPERLINK("http://www.eatonpowersource.com/products/configure/screw-in%20cartridge%20valves/details/fpr3/4-2.5bar","FPR3/4-2.5BAR")</f>
        <v>FPR3/4-2.5BAR</v>
      </c>
      <c r="B289" s="8" t="s">
        <v>265</v>
      </c>
    </row>
    <row r="290" spans="1:2" x14ac:dyDescent="0.3">
      <c r="A290" s="5" t="str">
        <f>HYPERLINK("http://www.eatonpowersource.com/products/configure/screw-in%20cartridge%20valves/details/fpr3/4-5bar","FPR3/4-5BAR")</f>
        <v>FPR3/4-5BAR</v>
      </c>
      <c r="B290" s="6" t="s">
        <v>265</v>
      </c>
    </row>
    <row r="291" spans="1:2" x14ac:dyDescent="0.3">
      <c r="A291" s="7" t="str">
        <f>HYPERLINK("http://www.eatonpowersource.com/products/configure/screw-in%20cartridge%20valves/details/fpr3/8-0.5bar","FPR3/8-0.5BAR")</f>
        <v>FPR3/8-0.5BAR</v>
      </c>
      <c r="B291" s="8" t="s">
        <v>263</v>
      </c>
    </row>
    <row r="292" spans="1:2" x14ac:dyDescent="0.3">
      <c r="A292" s="5" t="str">
        <f>HYPERLINK("http://www.eatonpowersource.com/products/configure/screw-in%20cartridge%20valves/details/fpr3/8-10bar","FPR3/8-10BAR")</f>
        <v>FPR3/8-10BAR</v>
      </c>
      <c r="B292" s="6" t="s">
        <v>265</v>
      </c>
    </row>
    <row r="293" spans="1:2" x14ac:dyDescent="0.3">
      <c r="A293" s="7" t="str">
        <f>HYPERLINK("http://www.eatonpowersource.com/products/configure/screw-in%20cartridge%20valves/details/fpr3/8-1bar","FPR3/8-1BAR")</f>
        <v>FPR3/8-1BAR</v>
      </c>
      <c r="B293" s="8" t="s">
        <v>265</v>
      </c>
    </row>
    <row r="294" spans="1:2" x14ac:dyDescent="0.3">
      <c r="A294" s="5" t="str">
        <f>HYPERLINK("http://www.eatonpowersource.com/products/configure/screw-in%20cartridge%20valves/details/fpr3/8-5bar","FPR3/8-5BAR")</f>
        <v>FPR3/8-5BAR</v>
      </c>
      <c r="B294" s="6" t="s">
        <v>265</v>
      </c>
    </row>
    <row r="295" spans="1:2" x14ac:dyDescent="0.3">
      <c r="A295" s="7" t="str">
        <f>HYPERLINK("http://www.eatonpowersource.com/products/configure/screw-in%20cartridge%20valves/details/405aa00319a","405AA00319A")</f>
        <v>405AA00319A</v>
      </c>
      <c r="B295" s="8" t="s">
        <v>266</v>
      </c>
    </row>
    <row r="296" spans="1:2" x14ac:dyDescent="0.3">
      <c r="A296" s="5" t="str">
        <f>HYPERLINK("http://www.eatonpowersource.com/products/configure/screw-in%20cartridge%20valves/details/406aa00001a","406AA00001A")</f>
        <v>406AA00001A</v>
      </c>
      <c r="B296" s="6" t="s">
        <v>267</v>
      </c>
    </row>
    <row r="297" spans="1:2" x14ac:dyDescent="0.3">
      <c r="A297" s="7" t="str">
        <f>HYPERLINK("http://www.eatonpowersource.com/products/configure/screw-in%20cartridge%20valves/details/406aa00002a","406AA00002A")</f>
        <v>406AA00002A</v>
      </c>
      <c r="B297" s="8" t="s">
        <v>268</v>
      </c>
    </row>
    <row r="298" spans="1:2" x14ac:dyDescent="0.3">
      <c r="A298" s="5" t="str">
        <f>HYPERLINK("http://www.eatonpowersource.com/products/configure/screw-in%20cartridge%20valves/details/406aa00003a","406AA00003A")</f>
        <v>406AA00003A</v>
      </c>
      <c r="B298" s="6" t="s">
        <v>269</v>
      </c>
    </row>
    <row r="299" spans="1:2" x14ac:dyDescent="0.3">
      <c r="A299" s="7" t="str">
        <f>HYPERLINK("http://www.eatonpowersource.com/products/configure/screw-in%20cartridge%20valves/details/406aa00004a","406AA00004A")</f>
        <v>406AA00004A</v>
      </c>
      <c r="B299" s="8" t="s">
        <v>270</v>
      </c>
    </row>
    <row r="300" spans="1:2" x14ac:dyDescent="0.3">
      <c r="A300" s="5" t="str">
        <f>HYPERLINK("http://www.eatonpowersource.com/products/configure/screw-in%20cartridge%20valves/details/406aa00005a","406AA00005A")</f>
        <v>406AA00005A</v>
      </c>
      <c r="B300" s="6" t="s">
        <v>271</v>
      </c>
    </row>
    <row r="301" spans="1:2" x14ac:dyDescent="0.3">
      <c r="A301" s="7" t="str">
        <f>HYPERLINK("http://www.eatonpowersource.com/products/configure/screw-in%20cartridge%20valves/details/406aa00006a","406AA00006A")</f>
        <v>406AA00006A</v>
      </c>
      <c r="B301" s="8" t="s">
        <v>272</v>
      </c>
    </row>
    <row r="302" spans="1:2" x14ac:dyDescent="0.3">
      <c r="A302" s="5" t="str">
        <f>HYPERLINK("http://www.eatonpowersource.com/products/configure/screw-in%20cartridge%20valves/details/406aa00007a","406AA00007A")</f>
        <v>406AA00007A</v>
      </c>
      <c r="B302" s="6" t="s">
        <v>273</v>
      </c>
    </row>
    <row r="303" spans="1:2" x14ac:dyDescent="0.3">
      <c r="A303" s="7" t="str">
        <f>HYPERLINK("http://www.eatonpowersource.com/products/configure/screw-in%20cartridge%20valves/details/406aa00008a","406AA00008A")</f>
        <v>406AA00008A</v>
      </c>
      <c r="B303" s="8" t="s">
        <v>274</v>
      </c>
    </row>
    <row r="304" spans="1:2" x14ac:dyDescent="0.3">
      <c r="A304" s="5" t="str">
        <f>HYPERLINK("http://www.eatonpowersource.com/products/configure/screw-in%20cartridge%20valves/details/406aa00009a","406AA00009A")</f>
        <v>406AA00009A</v>
      </c>
      <c r="B304" s="6" t="s">
        <v>275</v>
      </c>
    </row>
    <row r="305" spans="1:2" x14ac:dyDescent="0.3">
      <c r="A305" s="7" t="str">
        <f>HYPERLINK("http://www.eatonpowersource.com/products/configure/screw-in%20cartridge%20valves/details/406aa00010a","406AA00010A")</f>
        <v>406AA00010A</v>
      </c>
      <c r="B305" s="8" t="s">
        <v>276</v>
      </c>
    </row>
    <row r="306" spans="1:2" x14ac:dyDescent="0.3">
      <c r="A306" s="5" t="str">
        <f>HYPERLINK("http://www.eatonpowersource.com/products/configure/screw-in%20cartridge%20valves/details/406aa00013a","406AA00013A")</f>
        <v>406AA00013A</v>
      </c>
      <c r="B306" s="6" t="s">
        <v>277</v>
      </c>
    </row>
    <row r="307" spans="1:2" x14ac:dyDescent="0.3">
      <c r="A307" s="7" t="str">
        <f>HYPERLINK("http://www.eatonpowersource.com/products/configure/screw-in%20cartridge%20valves/details/406aa00014a","406AA00014A")</f>
        <v>406AA00014A</v>
      </c>
      <c r="B307" s="8" t="s">
        <v>278</v>
      </c>
    </row>
    <row r="308" spans="1:2" x14ac:dyDescent="0.3">
      <c r="A308" s="5" t="str">
        <f>HYPERLINK("http://www.eatonpowersource.com/products/configure/screw-in%20cartridge%20valves/details/406aa00015a","406AA00015A")</f>
        <v>406AA00015A</v>
      </c>
      <c r="B308" s="6" t="s">
        <v>279</v>
      </c>
    </row>
    <row r="309" spans="1:2" x14ac:dyDescent="0.3">
      <c r="A309" s="7" t="str">
        <f>HYPERLINK("http://www.eatonpowersource.com/products/configure/screw-in%20cartridge%20valves/details/406aa00016a","406AA00016A")</f>
        <v>406AA00016A</v>
      </c>
      <c r="B309" s="8" t="s">
        <v>280</v>
      </c>
    </row>
    <row r="310" spans="1:2" x14ac:dyDescent="0.3">
      <c r="A310" s="5" t="str">
        <f>HYPERLINK("http://www.eatonpowersource.com/products/configure/screw-in%20cartridge%20valves/details/406aa00017a","406AA00017A")</f>
        <v>406AA00017A</v>
      </c>
      <c r="B310" s="6" t="s">
        <v>281</v>
      </c>
    </row>
    <row r="311" spans="1:2" x14ac:dyDescent="0.3">
      <c r="A311" s="7" t="str">
        <f>HYPERLINK("http://www.eatonpowersource.com/products/configure/screw-in%20cartridge%20valves/details/406aa00018a","406AA00018A")</f>
        <v>406AA00018A</v>
      </c>
      <c r="B311" s="8" t="s">
        <v>282</v>
      </c>
    </row>
    <row r="312" spans="1:2" x14ac:dyDescent="0.3">
      <c r="A312" s="5" t="str">
        <f>HYPERLINK("http://www.eatonpowersource.com/products/configure/screw-in%20cartridge%20valves/details/406aa00019a","406AA00019A")</f>
        <v>406AA00019A</v>
      </c>
      <c r="B312" s="6" t="s">
        <v>283</v>
      </c>
    </row>
    <row r="313" spans="1:2" x14ac:dyDescent="0.3">
      <c r="A313" s="7" t="str">
        <f>HYPERLINK("http://www.eatonpowersource.com/products/configure/screw-in%20cartridge%20valves/details/406aa00020a","406AA00020A")</f>
        <v>406AA00020A</v>
      </c>
      <c r="B313" s="8" t="s">
        <v>284</v>
      </c>
    </row>
    <row r="314" spans="1:2" x14ac:dyDescent="0.3">
      <c r="A314" s="5" t="str">
        <f>HYPERLINK("http://www.eatonpowersource.com/products/configure/screw-in%20cartridge%20valves/details/406aa00021a","406AA00021A")</f>
        <v>406AA00021A</v>
      </c>
      <c r="B314" s="6" t="s">
        <v>285</v>
      </c>
    </row>
    <row r="315" spans="1:2" x14ac:dyDescent="0.3">
      <c r="A315" s="7" t="str">
        <f>HYPERLINK("http://www.eatonpowersource.com/products/configure/screw-in%20cartridge%20valves/details/406aa00022a","406AA00022A")</f>
        <v>406AA00022A</v>
      </c>
      <c r="B315" s="8" t="s">
        <v>286</v>
      </c>
    </row>
    <row r="316" spans="1:2" x14ac:dyDescent="0.3">
      <c r="A316" s="5" t="str">
        <f>HYPERLINK("http://www.eatonpowersource.com/products/configure/screw-in%20cartridge%20valves/details/406aa00023a","406AA00023A")</f>
        <v>406AA00023A</v>
      </c>
      <c r="B316" s="6" t="s">
        <v>287</v>
      </c>
    </row>
    <row r="317" spans="1:2" x14ac:dyDescent="0.3">
      <c r="A317" s="7" t="str">
        <f>HYPERLINK("http://www.eatonpowersource.com/products/configure/screw-in%20cartridge%20valves/details/406aa00025a","406AA00025A")</f>
        <v>406AA00025A</v>
      </c>
      <c r="B317" s="8" t="s">
        <v>288</v>
      </c>
    </row>
    <row r="318" spans="1:2" x14ac:dyDescent="0.3">
      <c r="A318" s="5" t="str">
        <f>HYPERLINK("http://www.eatonpowersource.com/products/configure/screw-in%20cartridge%20valves/details/406aa00026a","406AA00026A")</f>
        <v>406AA00026A</v>
      </c>
      <c r="B318" s="6" t="s">
        <v>289</v>
      </c>
    </row>
    <row r="319" spans="1:2" x14ac:dyDescent="0.3">
      <c r="A319" s="7" t="str">
        <f>HYPERLINK("http://www.eatonpowersource.com/products/configure/screw-in%20cartridge%20valves/details/406aa00027a","406AA00027A")</f>
        <v>406AA00027A</v>
      </c>
      <c r="B319" s="8" t="s">
        <v>290</v>
      </c>
    </row>
    <row r="320" spans="1:2" x14ac:dyDescent="0.3">
      <c r="A320" s="5" t="str">
        <f>HYPERLINK("http://www.eatonpowersource.com/products/configure/screw-in%20cartridge%20valves/details/406aa00028a","406AA00028A")</f>
        <v>406AA00028A</v>
      </c>
      <c r="B320" s="6" t="s">
        <v>291</v>
      </c>
    </row>
    <row r="321" spans="1:2" x14ac:dyDescent="0.3">
      <c r="A321" s="7" t="str">
        <f>HYPERLINK("http://www.eatonpowersource.com/products/configure/screw-in%20cartridge%20valves/details/406aa00029a","406AA00029A")</f>
        <v>406AA00029A</v>
      </c>
      <c r="B321" s="8" t="s">
        <v>292</v>
      </c>
    </row>
    <row r="322" spans="1:2" x14ac:dyDescent="0.3">
      <c r="A322" s="5" t="str">
        <f>HYPERLINK("http://www.eatonpowersource.com/products/configure/screw-in%20cartridge%20valves/details/406aa00031a","406AA00031A")</f>
        <v>406AA00031A</v>
      </c>
      <c r="B322" s="6" t="s">
        <v>293</v>
      </c>
    </row>
    <row r="323" spans="1:2" x14ac:dyDescent="0.3">
      <c r="A323" s="7" t="str">
        <f>HYPERLINK("http://www.eatonpowersource.com/products/configure/screw-in%20cartridge%20valves/details/406aa00032a","406AA00032A")</f>
        <v>406AA00032A</v>
      </c>
      <c r="B323" s="8" t="s">
        <v>294</v>
      </c>
    </row>
    <row r="324" spans="1:2" x14ac:dyDescent="0.3">
      <c r="A324" s="5" t="str">
        <f>HYPERLINK("http://www.eatonpowersource.com/products/configure/screw-in%20cartridge%20valves/details/406aa00033a","406AA00033A")</f>
        <v>406AA00033A</v>
      </c>
      <c r="B324" s="6" t="s">
        <v>295</v>
      </c>
    </row>
    <row r="325" spans="1:2" x14ac:dyDescent="0.3">
      <c r="A325" s="7" t="str">
        <f>HYPERLINK("http://www.eatonpowersource.com/products/configure/screw-in%20cartridge%20valves/details/406aa00034a","406AA00034A")</f>
        <v>406AA00034A</v>
      </c>
      <c r="B325" s="8" t="s">
        <v>296</v>
      </c>
    </row>
    <row r="326" spans="1:2" x14ac:dyDescent="0.3">
      <c r="A326" s="5" t="str">
        <f>HYPERLINK("http://www.eatonpowersource.com/products/configure/screw-in%20cartridge%20valves/details/406aa00035a","406AA00035A")</f>
        <v>406AA00035A</v>
      </c>
      <c r="B326" s="6" t="s">
        <v>297</v>
      </c>
    </row>
    <row r="327" spans="1:2" x14ac:dyDescent="0.3">
      <c r="A327" s="7" t="str">
        <f>HYPERLINK("http://www.eatonpowersource.com/products/configure/screw-in%20cartridge%20valves/details/406aa00048a","406AA00048A")</f>
        <v>406AA00048A</v>
      </c>
      <c r="B327" s="8" t="s">
        <v>298</v>
      </c>
    </row>
    <row r="328" spans="1:2" x14ac:dyDescent="0.3">
      <c r="A328" s="5" t="str">
        <f>HYPERLINK("http://www.eatonpowersource.com/products/configure/screw-in%20cartridge%20valves/details/406aa00049a","406AA00049A")</f>
        <v>406AA00049A</v>
      </c>
      <c r="B328" s="6" t="s">
        <v>299</v>
      </c>
    </row>
    <row r="329" spans="1:2" x14ac:dyDescent="0.3">
      <c r="A329" s="7" t="str">
        <f>HYPERLINK("http://www.eatonpowersource.com/products/configure/screw-in%20cartridge%20valves/details/406aa00050a","406AA00050A")</f>
        <v>406AA00050A</v>
      </c>
      <c r="B329" s="8" t="s">
        <v>300</v>
      </c>
    </row>
    <row r="330" spans="1:2" x14ac:dyDescent="0.3">
      <c r="A330" s="5" t="str">
        <f>HYPERLINK("http://www.eatonpowersource.com/products/configure/screw-in%20cartridge%20valves/details/406aa00053a","406AA00053A")</f>
        <v>406AA00053A</v>
      </c>
      <c r="B330" s="6" t="s">
        <v>301</v>
      </c>
    </row>
    <row r="331" spans="1:2" x14ac:dyDescent="0.3">
      <c r="A331" s="7" t="str">
        <f>HYPERLINK("http://www.eatonpowersource.com/products/configure/screw-in%20cartridge%20valves/details/406aa00054a","406AA00054A")</f>
        <v>406AA00054A</v>
      </c>
      <c r="B331" s="8" t="s">
        <v>302</v>
      </c>
    </row>
    <row r="332" spans="1:2" x14ac:dyDescent="0.3">
      <c r="A332" s="5" t="str">
        <f>HYPERLINK("http://www.eatonpowersource.com/products/configure/screw-in%20cartridge%20valves/details/406aa00055a","406AA00055A")</f>
        <v>406AA00055A</v>
      </c>
      <c r="B332" s="6" t="s">
        <v>303</v>
      </c>
    </row>
    <row r="333" spans="1:2" x14ac:dyDescent="0.3">
      <c r="A333" s="7" t="str">
        <f>HYPERLINK("http://www.eatonpowersource.com/products/configure/screw-in%20cartridge%20valves/details/406aa00056a","406AA00056A")</f>
        <v>406AA00056A</v>
      </c>
      <c r="B333" s="8" t="s">
        <v>304</v>
      </c>
    </row>
    <row r="334" spans="1:2" x14ac:dyDescent="0.3">
      <c r="A334" s="5" t="str">
        <f>HYPERLINK("http://www.eatonpowersource.com/products/configure/screw-in%20cartridge%20valves/details/406aa00058a","406AA00058A")</f>
        <v>406AA00058A</v>
      </c>
      <c r="B334" s="6" t="s">
        <v>305</v>
      </c>
    </row>
    <row r="335" spans="1:2" x14ac:dyDescent="0.3">
      <c r="A335" s="7" t="str">
        <f>HYPERLINK("http://www.eatonpowersource.com/products/configure/screw-in%20cartridge%20valves/details/406aa00059a","406AA00059A")</f>
        <v>406AA00059A</v>
      </c>
      <c r="B335" s="8" t="s">
        <v>306</v>
      </c>
    </row>
    <row r="336" spans="1:2" x14ac:dyDescent="0.3">
      <c r="A336" s="5" t="str">
        <f>HYPERLINK("http://www.eatonpowersource.com/products/configure/screw-in%20cartridge%20valves/details/406aa00060a","406AA00060A")</f>
        <v>406AA00060A</v>
      </c>
      <c r="B336" s="6" t="s">
        <v>307</v>
      </c>
    </row>
    <row r="337" spans="1:2" x14ac:dyDescent="0.3">
      <c r="A337" s="7" t="str">
        <f>HYPERLINK("http://www.eatonpowersource.com/products/configure/screw-in%20cartridge%20valves/details/406aa00066a","406AA00066A")</f>
        <v>406AA00066A</v>
      </c>
      <c r="B337" s="8" t="s">
        <v>308</v>
      </c>
    </row>
    <row r="338" spans="1:2" x14ac:dyDescent="0.3">
      <c r="A338" s="5" t="str">
        <f>HYPERLINK("http://www.eatonpowersource.com/products/configure/screw-in%20cartridge%20valves/details/406aa00067a","406AA00067A")</f>
        <v>406AA00067A</v>
      </c>
      <c r="B338" s="6" t="s">
        <v>309</v>
      </c>
    </row>
    <row r="339" spans="1:2" x14ac:dyDescent="0.3">
      <c r="A339" s="7" t="str">
        <f>HYPERLINK("http://www.eatonpowersource.com/products/configure/screw-in%20cartridge%20valves/details/406aa00068a","406AA00068A")</f>
        <v>406AA00068A</v>
      </c>
      <c r="B339" s="8" t="s">
        <v>310</v>
      </c>
    </row>
    <row r="340" spans="1:2" x14ac:dyDescent="0.3">
      <c r="A340" s="5" t="str">
        <f>HYPERLINK("http://www.eatonpowersource.com/products/configure/screw-in%20cartridge%20valves/details/406aa00069a","406AA00069A")</f>
        <v>406AA00069A</v>
      </c>
      <c r="B340" s="6" t="s">
        <v>311</v>
      </c>
    </row>
    <row r="341" spans="1:2" x14ac:dyDescent="0.3">
      <c r="A341" s="7" t="str">
        <f>HYPERLINK("http://www.eatonpowersource.com/products/configure/screw-in%20cartridge%20valves/details/406aa00070a","406AA00070A")</f>
        <v>406AA00070A</v>
      </c>
      <c r="B341" s="8" t="s">
        <v>312</v>
      </c>
    </row>
    <row r="342" spans="1:2" x14ac:dyDescent="0.3">
      <c r="A342" s="5" t="str">
        <f>HYPERLINK("http://www.eatonpowersource.com/products/configure/screw-in%20cartridge%20valves/details/406aa00071a","406AA00071A")</f>
        <v>406AA00071A</v>
      </c>
      <c r="B342" s="6" t="s">
        <v>313</v>
      </c>
    </row>
    <row r="343" spans="1:2" x14ac:dyDescent="0.3">
      <c r="A343" s="7" t="str">
        <f>HYPERLINK("http://www.eatonpowersource.com/products/configure/screw-in%20cartridge%20valves/details/406aa00073a","406AA00073A")</f>
        <v>406AA00073A</v>
      </c>
      <c r="B343" s="8" t="s">
        <v>314</v>
      </c>
    </row>
    <row r="344" spans="1:2" x14ac:dyDescent="0.3">
      <c r="A344" s="5" t="str">
        <f>HYPERLINK("http://www.eatonpowersource.com/products/configure/screw-in%20cartridge%20valves/details/406aa00083a","406AA00083A")</f>
        <v>406AA00083A</v>
      </c>
      <c r="B344" s="6" t="s">
        <v>315</v>
      </c>
    </row>
    <row r="345" spans="1:2" x14ac:dyDescent="0.3">
      <c r="A345" s="7" t="str">
        <f>HYPERLINK("http://www.eatonpowersource.com/products/configure/screw-in%20cartridge%20valves/details/406aa00086a","406AA00086A")</f>
        <v>406AA00086A</v>
      </c>
      <c r="B345" s="8" t="s">
        <v>316</v>
      </c>
    </row>
    <row r="346" spans="1:2" x14ac:dyDescent="0.3">
      <c r="A346" s="5" t="str">
        <f>HYPERLINK("http://www.eatonpowersource.com/products/configure/screw-in%20cartridge%20valves/details/406aa00087a","406AA00087A")</f>
        <v>406AA00087A</v>
      </c>
      <c r="B346" s="6" t="s">
        <v>317</v>
      </c>
    </row>
    <row r="347" spans="1:2" x14ac:dyDescent="0.3">
      <c r="A347" s="7" t="str">
        <f>HYPERLINK("http://www.eatonpowersource.com/products/configure/screw-in%20cartridge%20valves/details/406aa00088a","406AA00088A")</f>
        <v>406AA00088A</v>
      </c>
      <c r="B347" s="8" t="s">
        <v>318</v>
      </c>
    </row>
    <row r="348" spans="1:2" x14ac:dyDescent="0.3">
      <c r="A348" s="5" t="str">
        <f>HYPERLINK("http://www.eatonpowersource.com/products/configure/screw-in%20cartridge%20valves/details/406aa00089a","406AA00089A")</f>
        <v>406AA00089A</v>
      </c>
      <c r="B348" s="6" t="s">
        <v>319</v>
      </c>
    </row>
    <row r="349" spans="1:2" x14ac:dyDescent="0.3">
      <c r="A349" s="7" t="str">
        <f>HYPERLINK("http://www.eatonpowersource.com/products/configure/screw-in%20cartridge%20valves/details/406aa00095a","406AA00095A")</f>
        <v>406AA00095A</v>
      </c>
      <c r="B349" s="8" t="s">
        <v>320</v>
      </c>
    </row>
    <row r="350" spans="1:2" x14ac:dyDescent="0.3">
      <c r="A350" s="5" t="str">
        <f>HYPERLINK("http://www.eatonpowersource.com/products/configure/screw-in%20cartridge%20valves/details/406aa00096a","406AA00096A")</f>
        <v>406AA00096A</v>
      </c>
      <c r="B350" s="6" t="s">
        <v>321</v>
      </c>
    </row>
    <row r="351" spans="1:2" x14ac:dyDescent="0.3">
      <c r="A351" s="7" t="str">
        <f>HYPERLINK("http://www.eatonpowersource.com/products/configure/screw-in%20cartridge%20valves/details/406aa00097a","406AA00097A")</f>
        <v>406AA00097A</v>
      </c>
      <c r="B351" s="8" t="s">
        <v>322</v>
      </c>
    </row>
    <row r="352" spans="1:2" x14ac:dyDescent="0.3">
      <c r="A352" s="5" t="str">
        <f>HYPERLINK("http://www.eatonpowersource.com/products/configure/screw-in%20cartridge%20valves/details/406aa00102a","406AA00102A")</f>
        <v>406AA00102A</v>
      </c>
      <c r="B352" s="6" t="s">
        <v>323</v>
      </c>
    </row>
    <row r="353" spans="1:2" x14ac:dyDescent="0.3">
      <c r="A353" s="7" t="str">
        <f>HYPERLINK("http://www.eatonpowersource.com/products/configure/screw-in%20cartridge%20valves/details/406aa00112a","406AA00112A")</f>
        <v>406AA00112A</v>
      </c>
      <c r="B353" s="8" t="s">
        <v>324</v>
      </c>
    </row>
    <row r="354" spans="1:2" x14ac:dyDescent="0.3">
      <c r="A354" s="5" t="str">
        <f>HYPERLINK("http://www.eatonpowersource.com/products/configure/screw-in%20cartridge%20valves/details/406aa00119a","406AA00119A")</f>
        <v>406AA00119A</v>
      </c>
      <c r="B354" s="6" t="s">
        <v>325</v>
      </c>
    </row>
    <row r="355" spans="1:2" x14ac:dyDescent="0.3">
      <c r="A355" s="7" t="str">
        <f>HYPERLINK("http://www.eatonpowersource.com/products/configure/screw-in%20cartridge%20valves/details/406aa00120a","406AA00120A")</f>
        <v>406AA00120A</v>
      </c>
      <c r="B355" s="8" t="s">
        <v>326</v>
      </c>
    </row>
    <row r="356" spans="1:2" x14ac:dyDescent="0.3">
      <c r="A356" s="5" t="str">
        <f>HYPERLINK("http://www.eatonpowersource.com/products/configure/screw-in%20cartridge%20valves/details/406aa00134a","406AA00134A")</f>
        <v>406AA00134A</v>
      </c>
      <c r="B356" s="6" t="s">
        <v>327</v>
      </c>
    </row>
    <row r="357" spans="1:2" x14ac:dyDescent="0.3">
      <c r="A357" s="7" t="str">
        <f>HYPERLINK("http://www.eatonpowersource.com/products/configure/screw-in%20cartridge%20valves/details/406aa00137a","406AA00137A")</f>
        <v>406AA00137A</v>
      </c>
      <c r="B357" s="8" t="s">
        <v>328</v>
      </c>
    </row>
    <row r="358" spans="1:2" x14ac:dyDescent="0.3">
      <c r="A358" s="5" t="str">
        <f>HYPERLINK("http://www.eatonpowersource.com/products/configure/screw-in%20cartridge%20valves/details/406aa00138a","406AA00138A")</f>
        <v>406AA00138A</v>
      </c>
      <c r="B358" s="6" t="s">
        <v>329</v>
      </c>
    </row>
    <row r="359" spans="1:2" x14ac:dyDescent="0.3">
      <c r="A359" s="7" t="str">
        <f>HYPERLINK("http://www.eatonpowersource.com/products/configure/screw-in%20cartridge%20valves/details/406aa00139a","406AA00139A")</f>
        <v>406AA00139A</v>
      </c>
      <c r="B359" s="8" t="s">
        <v>330</v>
      </c>
    </row>
    <row r="360" spans="1:2" x14ac:dyDescent="0.3">
      <c r="A360" s="5" t="str">
        <f>HYPERLINK("http://www.eatonpowersource.com/products/configure/screw-in%20cartridge%20valves/details/406aa00140a","406AA00140A")</f>
        <v>406AA00140A</v>
      </c>
      <c r="B360" s="6" t="s">
        <v>331</v>
      </c>
    </row>
    <row r="361" spans="1:2" x14ac:dyDescent="0.3">
      <c r="A361" s="7" t="str">
        <f>HYPERLINK("http://www.eatonpowersource.com/products/configure/screw-in%20cartridge%20valves/details/406aa00142a","406AA00142A")</f>
        <v>406AA00142A</v>
      </c>
      <c r="B361" s="8" t="s">
        <v>332</v>
      </c>
    </row>
    <row r="362" spans="1:2" x14ac:dyDescent="0.3">
      <c r="A362" s="5" t="str">
        <f>HYPERLINK("http://www.eatonpowersource.com/products/configure/screw-in%20cartridge%20valves/details/406aa00144a","406AA00144A")</f>
        <v>406AA00144A</v>
      </c>
      <c r="B362" s="6" t="s">
        <v>333</v>
      </c>
    </row>
    <row r="363" spans="1:2" x14ac:dyDescent="0.3">
      <c r="A363" s="7" t="str">
        <f>HYPERLINK("http://www.eatonpowersource.com/products/configure/screw-in%20cartridge%20valves/details/406aa00147a","406AA00147A")</f>
        <v>406AA00147A</v>
      </c>
      <c r="B363" s="8" t="s">
        <v>334</v>
      </c>
    </row>
    <row r="364" spans="1:2" x14ac:dyDescent="0.3">
      <c r="A364" s="5" t="str">
        <f>HYPERLINK("http://www.eatonpowersource.com/products/configure/screw-in%20cartridge%20valves/details/406aa00148a","406AA00148A")</f>
        <v>406AA00148A</v>
      </c>
      <c r="B364" s="6" t="s">
        <v>335</v>
      </c>
    </row>
    <row r="365" spans="1:2" x14ac:dyDescent="0.3">
      <c r="A365" s="7" t="str">
        <f>HYPERLINK("http://www.eatonpowersource.com/products/configure/screw-in%20cartridge%20valves/details/406aa00149a","406AA00149A")</f>
        <v>406AA00149A</v>
      </c>
      <c r="B365" s="8" t="s">
        <v>336</v>
      </c>
    </row>
    <row r="366" spans="1:2" x14ac:dyDescent="0.3">
      <c r="A366" s="5" t="str">
        <f>HYPERLINK("http://www.eatonpowersource.com/products/configure/screw-in%20cartridge%20valves/details/406aa00164a","406AA00164A")</f>
        <v>406AA00164A</v>
      </c>
      <c r="B366" s="6" t="s">
        <v>337</v>
      </c>
    </row>
    <row r="367" spans="1:2" x14ac:dyDescent="0.3">
      <c r="A367" s="7" t="str">
        <f>HYPERLINK("http://www.eatonpowersource.com/products/configure/screw-in%20cartridge%20valves/details/406aa00165a","406AA00165A")</f>
        <v>406AA00165A</v>
      </c>
      <c r="B367" s="8" t="s">
        <v>338</v>
      </c>
    </row>
    <row r="368" spans="1:2" x14ac:dyDescent="0.3">
      <c r="A368" s="5" t="str">
        <f>HYPERLINK("http://www.eatonpowersource.com/products/configure/screw-in%20cartridge%20valves/details/406aa00166a","406AA00166A")</f>
        <v>406AA00166A</v>
      </c>
      <c r="B368" s="6" t="s">
        <v>339</v>
      </c>
    </row>
    <row r="369" spans="1:2" x14ac:dyDescent="0.3">
      <c r="A369" s="7" t="str">
        <f>HYPERLINK("http://www.eatonpowersource.com/products/configure/screw-in%20cartridge%20valves/details/406aa00177a","406AA00177A")</f>
        <v>406AA00177A</v>
      </c>
      <c r="B369" s="8" t="s">
        <v>340</v>
      </c>
    </row>
    <row r="370" spans="1:2" x14ac:dyDescent="0.3">
      <c r="A370" s="5" t="str">
        <f>HYPERLINK("http://www.eatonpowersource.com/products/configure/screw-in%20cartridge%20valves/details/406aa00185a","406AA00185A")</f>
        <v>406AA00185A</v>
      </c>
      <c r="B370" s="6" t="s">
        <v>341</v>
      </c>
    </row>
    <row r="371" spans="1:2" x14ac:dyDescent="0.3">
      <c r="A371" s="7" t="str">
        <f>HYPERLINK("http://www.eatonpowersource.com/products/configure/screw-in%20cartridge%20valves/details/406aa00188a","406AA00188A")</f>
        <v>406AA00188A</v>
      </c>
      <c r="B371" s="8" t="s">
        <v>342</v>
      </c>
    </row>
    <row r="372" spans="1:2" x14ac:dyDescent="0.3">
      <c r="A372" s="5" t="str">
        <f>HYPERLINK("http://www.eatonpowersource.com/products/configure/screw-in%20cartridge%20valves/details/406aa00189a","406AA00189A")</f>
        <v>406AA00189A</v>
      </c>
      <c r="B372" s="6" t="s">
        <v>343</v>
      </c>
    </row>
    <row r="373" spans="1:2" x14ac:dyDescent="0.3">
      <c r="A373" s="7" t="str">
        <f>HYPERLINK("http://www.eatonpowersource.com/products/configure/screw-in%20cartridge%20valves/details/406aa00195a","406AA00195A")</f>
        <v>406AA00195A</v>
      </c>
      <c r="B373" s="8" t="s">
        <v>344</v>
      </c>
    </row>
    <row r="374" spans="1:2" x14ac:dyDescent="0.3">
      <c r="A374" s="5" t="str">
        <f>HYPERLINK("http://www.eatonpowersource.com/products/configure/screw-in%20cartridge%20valves/details/406aa00196a","406AA00196A")</f>
        <v>406AA00196A</v>
      </c>
      <c r="B374" s="6" t="s">
        <v>345</v>
      </c>
    </row>
    <row r="375" spans="1:2" x14ac:dyDescent="0.3">
      <c r="A375" s="7" t="str">
        <f>HYPERLINK("http://www.eatonpowersource.com/products/configure/screw-in%20cartridge%20valves/details/406aa00202a","406AA00202A")</f>
        <v>406AA00202A</v>
      </c>
      <c r="B375" s="8" t="s">
        <v>346</v>
      </c>
    </row>
    <row r="376" spans="1:2" x14ac:dyDescent="0.3">
      <c r="A376" s="5" t="str">
        <f>HYPERLINK("http://www.eatonpowersource.com/products/configure/screw-in%20cartridge%20valves/details/406aa00227a","406AA00227A")</f>
        <v>406AA00227A</v>
      </c>
      <c r="B376" s="6" t="s">
        <v>347</v>
      </c>
    </row>
    <row r="377" spans="1:2" x14ac:dyDescent="0.3">
      <c r="A377" s="7" t="str">
        <f>HYPERLINK("http://www.eatonpowersource.com/products/configure/screw-in%20cartridge%20valves/details/406aa00228a","406AA00228A")</f>
        <v>406AA00228A</v>
      </c>
      <c r="B377" s="8" t="s">
        <v>348</v>
      </c>
    </row>
    <row r="378" spans="1:2" x14ac:dyDescent="0.3">
      <c r="A378" s="5" t="str">
        <f>HYPERLINK("http://www.eatonpowersource.com/products/configure/screw-in%20cartridge%20valves/details/406aa00243a","406AA00243A")</f>
        <v>406AA00243A</v>
      </c>
      <c r="B378" s="6" t="s">
        <v>349</v>
      </c>
    </row>
    <row r="379" spans="1:2" x14ac:dyDescent="0.3">
      <c r="A379" s="7" t="str">
        <f>HYPERLINK("http://www.eatonpowersource.com/products/configure/screw-in%20cartridge%20valves/details/406aa00251a","406AA00251A")</f>
        <v>406AA00251A</v>
      </c>
      <c r="B379" s="8" t="s">
        <v>350</v>
      </c>
    </row>
    <row r="380" spans="1:2" x14ac:dyDescent="0.3">
      <c r="A380" s="5" t="str">
        <f>HYPERLINK("http://www.eatonpowersource.com/products/configure/screw-in%20cartridge%20valves/details/406aa00254a","406AA00254A")</f>
        <v>406AA00254A</v>
      </c>
      <c r="B380" s="6" t="s">
        <v>351</v>
      </c>
    </row>
    <row r="381" spans="1:2" x14ac:dyDescent="0.3">
      <c r="A381" s="7" t="str">
        <f>HYPERLINK("http://www.eatonpowersource.com/products/configure/screw-in%20cartridge%20valves/details/406aa00314a","406AA00314A")</f>
        <v>406AA00314A</v>
      </c>
      <c r="B381" s="8" t="s">
        <v>352</v>
      </c>
    </row>
    <row r="382" spans="1:2" x14ac:dyDescent="0.3">
      <c r="A382" s="5" t="str">
        <f>HYPERLINK("http://www.eatonpowersource.com/products/configure/screw-in%20cartridge%20valves/details/406aa00318a","406AA00318A")</f>
        <v>406AA00318A</v>
      </c>
      <c r="B382" s="6" t="s">
        <v>353</v>
      </c>
    </row>
    <row r="383" spans="1:2" x14ac:dyDescent="0.3">
      <c r="A383" s="7" t="str">
        <f>HYPERLINK("http://www.eatonpowersource.com/products/configure/screw-in%20cartridge%20valves/details/406aa00331a","406AA00331A")</f>
        <v>406AA00331A</v>
      </c>
      <c r="B383" s="8" t="s">
        <v>354</v>
      </c>
    </row>
    <row r="384" spans="1:2" x14ac:dyDescent="0.3">
      <c r="A384" s="5" t="str">
        <f>HYPERLINK("http://www.eatonpowersource.com/products/configure/screw-in%20cartridge%20valves/details/406aa00342a","406AA00342A")</f>
        <v>406AA00342A</v>
      </c>
      <c r="B384" s="6" t="s">
        <v>355</v>
      </c>
    </row>
    <row r="385" spans="1:2" x14ac:dyDescent="0.3">
      <c r="A385" s="7" t="str">
        <f>HYPERLINK("http://www.eatonpowersource.com/products/configure/screw-in%20cartridge%20valves/details/406aa00344a","406AA00344A")</f>
        <v>406AA00344A</v>
      </c>
      <c r="B385" s="8" t="s">
        <v>356</v>
      </c>
    </row>
    <row r="386" spans="1:2" x14ac:dyDescent="0.3">
      <c r="A386" s="5" t="str">
        <f>HYPERLINK("http://www.eatonpowersource.com/products/configure/screw-in%20cartridge%20valves/details/406aa00352a","406AA00352A")</f>
        <v>406AA00352A</v>
      </c>
      <c r="B386" s="6" t="s">
        <v>357</v>
      </c>
    </row>
    <row r="387" spans="1:2" x14ac:dyDescent="0.3">
      <c r="A387" s="7" t="str">
        <f>HYPERLINK("http://www.eatonpowersource.com/products/configure/screw-in%20cartridge%20valves/details/406aa00353a","406AA00353A")</f>
        <v>406AA00353A</v>
      </c>
      <c r="B387" s="8" t="s">
        <v>358</v>
      </c>
    </row>
    <row r="388" spans="1:2" x14ac:dyDescent="0.3">
      <c r="A388" s="5" t="str">
        <f>HYPERLINK("http://www.eatonpowersource.com/products/configure/screw-in%20cartridge%20valves/details/406aa00354a","406AA00354A")</f>
        <v>406AA00354A</v>
      </c>
      <c r="B388" s="6" t="s">
        <v>359</v>
      </c>
    </row>
    <row r="389" spans="1:2" x14ac:dyDescent="0.3">
      <c r="A389" s="7" t="str">
        <f>HYPERLINK("http://www.eatonpowersource.com/products/configure/screw-in%20cartridge%20valves/details/406aa00359a","406AA00359A")</f>
        <v>406AA00359A</v>
      </c>
      <c r="B389" s="8" t="s">
        <v>360</v>
      </c>
    </row>
    <row r="390" spans="1:2" x14ac:dyDescent="0.3">
      <c r="A390" s="5" t="str">
        <f>HYPERLINK("http://www.eatonpowersource.com/products/configure/screw-in%20cartridge%20valves/details/406aa00363a","406AA00363A")</f>
        <v>406AA00363A</v>
      </c>
      <c r="B390" s="6" t="s">
        <v>361</v>
      </c>
    </row>
    <row r="391" spans="1:2" x14ac:dyDescent="0.3">
      <c r="A391" s="7" t="str">
        <f>HYPERLINK("http://www.eatonpowersource.com/products/configure/screw-in%20cartridge%20valves/details/406aa00379a","406AA00379A")</f>
        <v>406AA00379A</v>
      </c>
      <c r="B391" s="8" t="s">
        <v>362</v>
      </c>
    </row>
    <row r="392" spans="1:2" x14ac:dyDescent="0.3">
      <c r="A392" s="5" t="str">
        <f>HYPERLINK("http://www.eatonpowersource.com/products/configure/screw-in%20cartridge%20valves/details/406aa00391a","406AA00391A")</f>
        <v>406AA00391A</v>
      </c>
      <c r="B392" s="6" t="s">
        <v>363</v>
      </c>
    </row>
    <row r="393" spans="1:2" x14ac:dyDescent="0.3">
      <c r="A393" s="7" t="str">
        <f>HYPERLINK("http://www.eatonpowersource.com/products/configure/screw-in%20cartridge%20valves/details/406aa00404a","406AA00404A")</f>
        <v>406AA00404A</v>
      </c>
      <c r="B393" s="8" t="s">
        <v>364</v>
      </c>
    </row>
    <row r="394" spans="1:2" x14ac:dyDescent="0.3">
      <c r="A394" s="5" t="str">
        <f>HYPERLINK("http://www.eatonpowersource.com/products/configure/screw-in%20cartridge%20valves/details/406aa00411a","406AA00411A")</f>
        <v>406AA00411A</v>
      </c>
      <c r="B394" s="6" t="s">
        <v>365</v>
      </c>
    </row>
    <row r="395" spans="1:2" x14ac:dyDescent="0.3">
      <c r="A395" s="7" t="str">
        <f>HYPERLINK("http://www.eatonpowersource.com/products/configure/screw-in%20cartridge%20valves/details/406aa00417a","406AA00417A")</f>
        <v>406AA00417A</v>
      </c>
      <c r="B395" s="8" t="s">
        <v>366</v>
      </c>
    </row>
    <row r="396" spans="1:2" x14ac:dyDescent="0.3">
      <c r="A396" s="5" t="str">
        <f>HYPERLINK("http://www.eatonpowersource.com/products/configure/screw-in%20cartridge%20valves/details/406aa00431a","406AA00431A")</f>
        <v>406AA00431A</v>
      </c>
      <c r="B396" s="6" t="s">
        <v>367</v>
      </c>
    </row>
    <row r="397" spans="1:2" x14ac:dyDescent="0.3">
      <c r="A397" s="7" t="str">
        <f>HYPERLINK("http://www.eatonpowersource.com/products/configure/screw-in%20cartridge%20valves/details/406aa00432a","406AA00432A")</f>
        <v>406AA00432A</v>
      </c>
      <c r="B397" s="8" t="s">
        <v>368</v>
      </c>
    </row>
    <row r="398" spans="1:2" x14ac:dyDescent="0.3">
      <c r="A398" s="5" t="str">
        <f>HYPERLINK("http://www.eatonpowersource.com/products/configure/screw-in%20cartridge%20valves/details/406aa00435a","406AA00435A")</f>
        <v>406AA00435A</v>
      </c>
      <c r="B398" s="6" t="s">
        <v>369</v>
      </c>
    </row>
    <row r="399" spans="1:2" x14ac:dyDescent="0.3">
      <c r="A399" s="7" t="str">
        <f>HYPERLINK("http://www.eatonpowersource.com/products/configure/screw-in%20cartridge%20valves/details/406aa00439a","406AA00439A")</f>
        <v>406AA00439A</v>
      </c>
      <c r="B399" s="8" t="s">
        <v>370</v>
      </c>
    </row>
    <row r="400" spans="1:2" x14ac:dyDescent="0.3">
      <c r="A400" s="5" t="str">
        <f>HYPERLINK("http://www.eatonpowersource.com/products/configure/screw-in%20cartridge%20valves/details/406aa00454a","406AA00454A")</f>
        <v>406AA00454A</v>
      </c>
      <c r="B400" s="6" t="s">
        <v>371</v>
      </c>
    </row>
    <row r="401" spans="1:2" x14ac:dyDescent="0.3">
      <c r="A401" s="7" t="str">
        <f>HYPERLINK("http://www.eatonpowersource.com/products/configure/screw-in%20cartridge%20valves/details/406aa00525a","406AA00525A")</f>
        <v>406AA00525A</v>
      </c>
      <c r="B401" s="8" t="s">
        <v>372</v>
      </c>
    </row>
    <row r="402" spans="1:2" x14ac:dyDescent="0.3">
      <c r="A402" s="5" t="str">
        <f>HYPERLINK("http://www.eatonpowersource.com/products/configure/screw-in%20cartridge%20valves/details/406aa00527a","406AA00527A")</f>
        <v>406AA00527A</v>
      </c>
      <c r="B402" s="6" t="s">
        <v>373</v>
      </c>
    </row>
    <row r="403" spans="1:2" x14ac:dyDescent="0.3">
      <c r="A403" s="7" t="str">
        <f>HYPERLINK("http://www.eatonpowersource.com/products/configure/screw-in%20cartridge%20valves/details/406aa00588a","406AA00588A")</f>
        <v>406AA00588A</v>
      </c>
      <c r="B403" s="8" t="s">
        <v>374</v>
      </c>
    </row>
    <row r="404" spans="1:2" x14ac:dyDescent="0.3">
      <c r="A404" s="5" t="str">
        <f>HYPERLINK("http://www.eatonpowersource.com/products/configure/screw-in%20cartridge%20valves/details/406aa00590a","406AA00590A")</f>
        <v>406AA00590A</v>
      </c>
      <c r="B404" s="6" t="s">
        <v>375</v>
      </c>
    </row>
    <row r="405" spans="1:2" x14ac:dyDescent="0.3">
      <c r="A405" s="7" t="str">
        <f>HYPERLINK("http://www.eatonpowersource.com/products/configure/screw-in%20cartridge%20valves/details/406aa00609a","406AA00609A")</f>
        <v>406AA00609A</v>
      </c>
      <c r="B405" s="8" t="s">
        <v>376</v>
      </c>
    </row>
    <row r="406" spans="1:2" x14ac:dyDescent="0.3">
      <c r="A406" s="5" t="str">
        <f>HYPERLINK("http://www.eatonpowersource.com/products/configure/screw-in%20cartridge%20valves/details/406aa00640a","406AA00640A")</f>
        <v>406AA00640A</v>
      </c>
      <c r="B406" s="6" t="s">
        <v>377</v>
      </c>
    </row>
    <row r="407" spans="1:2" x14ac:dyDescent="0.3">
      <c r="A407" s="7" t="str">
        <f>HYPERLINK("http://www.eatonpowersource.com/products/configure/screw-in%20cartridge%20valves/details/406aa00642a","406AA00642A")</f>
        <v>406AA00642A</v>
      </c>
      <c r="B407" s="8" t="s">
        <v>378</v>
      </c>
    </row>
    <row r="408" spans="1:2" x14ac:dyDescent="0.3">
      <c r="A408" s="5" t="str">
        <f>HYPERLINK("http://www.eatonpowersource.com/products/configure/screw-in%20cartridge%20valves/details/406aa00657a","406AA00657A")</f>
        <v>406AA00657A</v>
      </c>
      <c r="B408" s="6" t="s">
        <v>379</v>
      </c>
    </row>
    <row r="409" spans="1:2" x14ac:dyDescent="0.3">
      <c r="A409" s="7" t="str">
        <f>HYPERLINK("http://www.eatonpowersource.com/products/configure/screw-in%20cartridge%20valves/details/406aa00672a","406AA00672A")</f>
        <v>406AA00672A</v>
      </c>
      <c r="B409" s="8" t="s">
        <v>380</v>
      </c>
    </row>
    <row r="410" spans="1:2" x14ac:dyDescent="0.3">
      <c r="A410" s="5" t="str">
        <f>HYPERLINK("http://www.eatonpowersource.com/products/configure/screw-in%20cartridge%20valves/details/406aa00673a","406AA00673A")</f>
        <v>406AA00673A</v>
      </c>
      <c r="B410" s="6" t="s">
        <v>381</v>
      </c>
    </row>
    <row r="411" spans="1:2" x14ac:dyDescent="0.3">
      <c r="A411" s="7" t="str">
        <f>HYPERLINK("http://www.eatonpowersource.com/products/configure/screw-in%20cartridge%20valves/details/406aa00674a","406AA00674A")</f>
        <v>406AA00674A</v>
      </c>
      <c r="B411" s="8" t="s">
        <v>382</v>
      </c>
    </row>
    <row r="412" spans="1:2" x14ac:dyDescent="0.3">
      <c r="A412" s="5" t="str">
        <f>HYPERLINK("http://www.eatonpowersource.com/products/configure/screw-in%20cartridge%20valves/details/406aa00685a","406AA00685A")</f>
        <v>406AA00685A</v>
      </c>
      <c r="B412" s="6" t="s">
        <v>383</v>
      </c>
    </row>
    <row r="413" spans="1:2" x14ac:dyDescent="0.3">
      <c r="A413" s="7" t="str">
        <f>HYPERLINK("http://www.eatonpowersource.com/products/configure/screw-in%20cartridge%20valves/details/406aa00691a","406AA00691A")</f>
        <v>406AA00691A</v>
      </c>
      <c r="B413" s="8" t="s">
        <v>384</v>
      </c>
    </row>
    <row r="414" spans="1:2" x14ac:dyDescent="0.3">
      <c r="A414" s="5" t="str">
        <f>HYPERLINK("http://www.eatonpowersource.com/products/configure/screw-in%20cartridge%20valves/details/406aa00692a","406AA00692A")</f>
        <v>406AA00692A</v>
      </c>
      <c r="B414" s="6" t="s">
        <v>385</v>
      </c>
    </row>
    <row r="415" spans="1:2" x14ac:dyDescent="0.3">
      <c r="A415" s="7" t="str">
        <f>HYPERLINK("http://www.eatonpowersource.com/products/configure/screw-in%20cartridge%20valves/details/406aa00695a","406AA00695A")</f>
        <v>406AA00695A</v>
      </c>
      <c r="B415" s="8" t="s">
        <v>386</v>
      </c>
    </row>
    <row r="416" spans="1:2" x14ac:dyDescent="0.3">
      <c r="A416" s="5" t="str">
        <f>HYPERLINK("http://www.eatonpowersource.com/products/configure/screw-in%20cartridge%20valves/details/406aa00699a","406AA00699A")</f>
        <v>406AA00699A</v>
      </c>
      <c r="B416" s="6" t="s">
        <v>387</v>
      </c>
    </row>
    <row r="417" spans="1:2" x14ac:dyDescent="0.3">
      <c r="A417" s="7" t="str">
        <f>HYPERLINK("http://www.eatonpowersource.com/products/configure/screw-in%20cartridge%20valves/details/406aa00746a","406AA00746A")</f>
        <v>406AA00746A</v>
      </c>
      <c r="B417" s="8" t="s">
        <v>388</v>
      </c>
    </row>
    <row r="418" spans="1:2" x14ac:dyDescent="0.3">
      <c r="A418" s="5" t="str">
        <f>HYPERLINK("http://www.eatonpowersource.com/products/configure/screw-in%20cartridge%20valves/details/406aa00761a","406AA00761A")</f>
        <v>406AA00761A</v>
      </c>
      <c r="B418" s="6" t="s">
        <v>389</v>
      </c>
    </row>
    <row r="419" spans="1:2" x14ac:dyDescent="0.3">
      <c r="A419" s="7" t="str">
        <f>HYPERLINK("http://www.eatonpowersource.com/products/configure/screw-in%20cartridge%20valves/details/406aa00769a","406AA00769A")</f>
        <v>406AA00769A</v>
      </c>
      <c r="B419" s="8" t="s">
        <v>390</v>
      </c>
    </row>
    <row r="420" spans="1:2" x14ac:dyDescent="0.3">
      <c r="A420" s="5" t="str">
        <f>HYPERLINK("http://www.eatonpowersource.com/products/configure/screw-in%20cartridge%20valves/details/406aa00781a","406AA00781A")</f>
        <v>406AA00781A</v>
      </c>
      <c r="B420" s="6" t="s">
        <v>391</v>
      </c>
    </row>
    <row r="421" spans="1:2" x14ac:dyDescent="0.3">
      <c r="A421" s="7" t="str">
        <f>HYPERLINK("http://www.eatonpowersource.com/products/configure/screw-in%20cartridge%20valves/details/406aa00792a","406AA00792A")</f>
        <v>406AA00792A</v>
      </c>
      <c r="B421" s="8" t="s">
        <v>392</v>
      </c>
    </row>
    <row r="422" spans="1:2" x14ac:dyDescent="0.3">
      <c r="A422" s="5" t="str">
        <f>HYPERLINK("http://www.eatonpowersource.com/products/configure/screw-in%20cartridge%20valves/details/406aa00796a","406AA00796A")</f>
        <v>406AA00796A</v>
      </c>
      <c r="B422" s="6" t="s">
        <v>393</v>
      </c>
    </row>
    <row r="423" spans="1:2" x14ac:dyDescent="0.3">
      <c r="A423" s="7" t="str">
        <f>HYPERLINK("http://www.eatonpowersource.com/products/configure/screw-in%20cartridge%20valves/details/406aa00808a","406AA00808A")</f>
        <v>406AA00808A</v>
      </c>
      <c r="B423" s="8" t="s">
        <v>394</v>
      </c>
    </row>
    <row r="424" spans="1:2" x14ac:dyDescent="0.3">
      <c r="A424" s="5" t="str">
        <f>HYPERLINK("http://www.eatonpowersource.com/products/configure/screw-in%20cartridge%20valves/details/406aa00827a","406AA00827A")</f>
        <v>406AA00827A</v>
      </c>
      <c r="B424" s="6" t="s">
        <v>395</v>
      </c>
    </row>
    <row r="425" spans="1:2" x14ac:dyDescent="0.3">
      <c r="A425" s="7" t="str">
        <f>HYPERLINK("http://www.eatonpowersource.com/products/configure/screw-in%20cartridge%20valves/details/406aa00833a","406AA00833A")</f>
        <v>406AA00833A</v>
      </c>
      <c r="B425" s="8" t="s">
        <v>396</v>
      </c>
    </row>
    <row r="426" spans="1:2" x14ac:dyDescent="0.3">
      <c r="A426" s="5" t="str">
        <f>HYPERLINK("http://www.eatonpowersource.com/products/configure/screw-in%20cartridge%20valves/details/406aa00840a","406AA00840A")</f>
        <v>406AA00840A</v>
      </c>
      <c r="B426" s="6" t="s">
        <v>397</v>
      </c>
    </row>
    <row r="427" spans="1:2" x14ac:dyDescent="0.3">
      <c r="A427" s="7" t="str">
        <f>HYPERLINK("http://www.eatonpowersource.com/products/configure/screw-in%20cartridge%20valves/details/406aa00841a","406AA00841A")</f>
        <v>406AA00841A</v>
      </c>
      <c r="B427" s="8" t="s">
        <v>398</v>
      </c>
    </row>
    <row r="428" spans="1:2" x14ac:dyDescent="0.3">
      <c r="A428" s="5" t="str">
        <f>HYPERLINK("http://www.eatonpowersource.com/products/configure/screw-in%20cartridge%20valves/details/406aa00852a","406AA00852A")</f>
        <v>406AA00852A</v>
      </c>
      <c r="B428" s="6" t="s">
        <v>399</v>
      </c>
    </row>
    <row r="429" spans="1:2" x14ac:dyDescent="0.3">
      <c r="A429" s="7" t="str">
        <f>HYPERLINK("http://www.eatonpowersource.com/products/configure/screw-in%20cartridge%20valves/details/406aa00857a","406AA00857A")</f>
        <v>406AA00857A</v>
      </c>
      <c r="B429" s="8" t="s">
        <v>400</v>
      </c>
    </row>
    <row r="430" spans="1:2" x14ac:dyDescent="0.3">
      <c r="A430" s="5" t="str">
        <f>HYPERLINK("http://www.eatonpowersource.com/products/configure/screw-in%20cartridge%20valves/details/406aa00859a","406AA00859A")</f>
        <v>406AA00859A</v>
      </c>
      <c r="B430" s="6" t="s">
        <v>401</v>
      </c>
    </row>
    <row r="431" spans="1:2" x14ac:dyDescent="0.3">
      <c r="A431" s="7" t="str">
        <f>HYPERLINK("http://www.eatonpowersource.com/products/configure/screw-in%20cartridge%20valves/details/406aa00861a","406AA00861A")</f>
        <v>406AA00861A</v>
      </c>
      <c r="B431" s="8" t="s">
        <v>402</v>
      </c>
    </row>
    <row r="432" spans="1:2" x14ac:dyDescent="0.3">
      <c r="A432" s="5" t="str">
        <f>HYPERLINK("http://www.eatonpowersource.com/products/configure/screw-in%20cartridge%20valves/details/406aa00862a","406AA00862A")</f>
        <v>406AA00862A</v>
      </c>
      <c r="B432" s="6" t="s">
        <v>403</v>
      </c>
    </row>
    <row r="433" spans="1:2" x14ac:dyDescent="0.3">
      <c r="A433" s="7" t="str">
        <f>HYPERLINK("http://www.eatonpowersource.com/products/configure/screw-in%20cartridge%20valves/details/406aa00863a","406AA00863A")</f>
        <v>406AA00863A</v>
      </c>
      <c r="B433" s="8" t="s">
        <v>404</v>
      </c>
    </row>
    <row r="434" spans="1:2" x14ac:dyDescent="0.3">
      <c r="A434" s="5" t="str">
        <f>HYPERLINK("http://www.eatonpowersource.com/products/configure/screw-in%20cartridge%20valves/details/406aa00864a","406AA00864A")</f>
        <v>406AA00864A</v>
      </c>
      <c r="B434" s="6" t="s">
        <v>405</v>
      </c>
    </row>
    <row r="435" spans="1:2" x14ac:dyDescent="0.3">
      <c r="A435" s="7" t="str">
        <f>HYPERLINK("http://www.eatonpowersource.com/products/configure/screw-in%20cartridge%20valves/details/406aa00865a","406AA00865A")</f>
        <v>406AA00865A</v>
      </c>
      <c r="B435" s="8" t="s">
        <v>406</v>
      </c>
    </row>
    <row r="436" spans="1:2" x14ac:dyDescent="0.3">
      <c r="A436" s="5" t="str">
        <f>HYPERLINK("http://www.eatonpowersource.com/products/configure/screw-in%20cartridge%20valves/details/406aa00934a","406AA00934A")</f>
        <v>406AA00934A</v>
      </c>
      <c r="B436" s="6" t="s">
        <v>407</v>
      </c>
    </row>
    <row r="437" spans="1:2" x14ac:dyDescent="0.3">
      <c r="A437" s="7" t="str">
        <f>HYPERLINK("http://www.eatonpowersource.com/products/configure/screw-in%20cartridge%20valves/details/406aa00955a","406AA00955A")</f>
        <v>406AA00955A</v>
      </c>
      <c r="B437" s="8" t="s">
        <v>408</v>
      </c>
    </row>
    <row r="438" spans="1:2" x14ac:dyDescent="0.3">
      <c r="A438" s="5" t="str">
        <f>HYPERLINK("http://www.eatonpowersource.com/products/configure/screw-in%20cartridge%20valves/details/406aa00959a","406AA00959A")</f>
        <v>406AA00959A</v>
      </c>
      <c r="B438" s="6" t="s">
        <v>409</v>
      </c>
    </row>
    <row r="439" spans="1:2" x14ac:dyDescent="0.3">
      <c r="A439" s="7" t="str">
        <f>HYPERLINK("http://www.eatonpowersource.com/products/configure/screw-in%20cartridge%20valves/details/406aa00961a","406AA00961A")</f>
        <v>406AA00961A</v>
      </c>
      <c r="B439" s="8" t="s">
        <v>410</v>
      </c>
    </row>
    <row r="440" spans="1:2" x14ac:dyDescent="0.3">
      <c r="A440" s="5" t="str">
        <f>HYPERLINK("http://www.eatonpowersource.com/products/configure/screw-in%20cartridge%20valves/details/406aa00965a","406AA00965A")</f>
        <v>406AA00965A</v>
      </c>
      <c r="B440" s="6" t="s">
        <v>411</v>
      </c>
    </row>
    <row r="441" spans="1:2" x14ac:dyDescent="0.3">
      <c r="A441" s="7" t="str">
        <f>HYPERLINK("http://www.eatonpowersource.com/products/configure/screw-in%20cartridge%20valves/details/406aa00966a","406AA00966A")</f>
        <v>406AA00966A</v>
      </c>
      <c r="B441" s="8" t="s">
        <v>412</v>
      </c>
    </row>
    <row r="442" spans="1:2" x14ac:dyDescent="0.3">
      <c r="A442" s="5" t="str">
        <f>HYPERLINK("http://www.eatonpowersource.com/products/configure/screw-in%20cartridge%20valves/details/406aa00975a","406AA00975A")</f>
        <v>406AA00975A</v>
      </c>
      <c r="B442" s="6" t="s">
        <v>413</v>
      </c>
    </row>
    <row r="443" spans="1:2" x14ac:dyDescent="0.3">
      <c r="A443" s="7" t="str">
        <f>HYPERLINK("http://www.eatonpowersource.com/products/configure/screw-in%20cartridge%20valves/details/406aa00977a","406AA00977A")</f>
        <v>406AA00977A</v>
      </c>
      <c r="B443" s="8" t="s">
        <v>414</v>
      </c>
    </row>
    <row r="444" spans="1:2" x14ac:dyDescent="0.3">
      <c r="A444" s="5" t="str">
        <f>HYPERLINK("http://www.eatonpowersource.com/products/configure/screw-in%20cartridge%20valves/details/406aa00980a","406AA00980A")</f>
        <v>406AA00980A</v>
      </c>
      <c r="B444" s="6" t="s">
        <v>415</v>
      </c>
    </row>
    <row r="445" spans="1:2" x14ac:dyDescent="0.3">
      <c r="A445" s="7" t="str">
        <f>HYPERLINK("http://www.eatonpowersource.com/products/configure/screw-in%20cartridge%20valves/details/406aa00986a","406AA00986A")</f>
        <v>406AA00986A</v>
      </c>
      <c r="B445" s="8" t="s">
        <v>416</v>
      </c>
    </row>
    <row r="446" spans="1:2" x14ac:dyDescent="0.3">
      <c r="A446" s="5" t="str">
        <f>HYPERLINK("http://www.eatonpowersource.com/products/configure/screw-in%20cartridge%20valves/details/406aa00987a","406AA00987A")</f>
        <v>406AA00987A</v>
      </c>
      <c r="B446" s="6" t="s">
        <v>417</v>
      </c>
    </row>
    <row r="447" spans="1:2" x14ac:dyDescent="0.3">
      <c r="A447" s="7" t="str">
        <f>HYPERLINK("http://www.eatonpowersource.com/products/configure/screw-in%20cartridge%20valves/details/406aa01271a","406AA01271A")</f>
        <v>406AA01271A</v>
      </c>
      <c r="B447" s="8" t="s">
        <v>418</v>
      </c>
    </row>
    <row r="448" spans="1:2" x14ac:dyDescent="0.3">
      <c r="A448" s="5" t="str">
        <f>HYPERLINK("http://www.eatonpowersource.com/products/configure/screw-in%20cartridge%20valves/details/406aa01642a","406AA01642A")</f>
        <v>406AA01642A</v>
      </c>
      <c r="B448" s="6" t="s">
        <v>419</v>
      </c>
    </row>
    <row r="449" spans="1:2" x14ac:dyDescent="0.3">
      <c r="A449" s="7" t="str">
        <f>HYPERLINK("http://www.eatonpowersource.com/products/configure/screw-in%20cartridge%20valves/details/406aa02039a","406AA02039A")</f>
        <v>406AA02039A</v>
      </c>
      <c r="B449" s="8" t="s">
        <v>420</v>
      </c>
    </row>
    <row r="450" spans="1:2" x14ac:dyDescent="0.3">
      <c r="A450" s="5" t="str">
        <f>HYPERLINK("http://www.eatonpowersource.com/products/configure/screw-in%20cartridge%20valves/details/406aa02181a","406AA02181A")</f>
        <v>406AA02181A</v>
      </c>
      <c r="B450" s="6" t="s">
        <v>421</v>
      </c>
    </row>
    <row r="451" spans="1:2" x14ac:dyDescent="0.3">
      <c r="A451" s="7" t="str">
        <f>HYPERLINK("http://www.eatonpowersource.com/products/configure/screw-in%20cartridge%20valves/details/406aa02183a","406AA02183A")</f>
        <v>406AA02183A</v>
      </c>
      <c r="B451" s="8" t="s">
        <v>422</v>
      </c>
    </row>
    <row r="452" spans="1:2" x14ac:dyDescent="0.3">
      <c r="A452" s="5" t="str">
        <f>HYPERLINK("http://www.eatonpowersource.com/products/configure/screw-in%20cartridge%20valves/details/406aa02208a","406AA02208A")</f>
        <v>406AA02208A</v>
      </c>
      <c r="B452" s="6" t="s">
        <v>423</v>
      </c>
    </row>
    <row r="453" spans="1:2" x14ac:dyDescent="0.3">
      <c r="A453" s="7" t="str">
        <f>HYPERLINK("http://www.eatonpowersource.com/products/configure/screw-in%20cartridge%20valves/details/406aa02210a","406AA02210A")</f>
        <v>406AA02210A</v>
      </c>
      <c r="B453" s="8" t="s">
        <v>424</v>
      </c>
    </row>
    <row r="454" spans="1:2" x14ac:dyDescent="0.3">
      <c r="A454" s="5" t="str">
        <f>HYPERLINK("http://www.eatonpowersource.com/products/configure/screw-in%20cartridge%20valves/details/406aa02222a","406AA02222A")</f>
        <v>406AA02222A</v>
      </c>
      <c r="B454" s="6" t="s">
        <v>425</v>
      </c>
    </row>
    <row r="455" spans="1:2" x14ac:dyDescent="0.3">
      <c r="A455" s="7" t="str">
        <f>HYPERLINK("http://www.eatonpowersource.com/products/configure/screw-in%20cartridge%20valves/details/406aa02224a","406AA02224A")</f>
        <v>406AA02224A</v>
      </c>
      <c r="B455" s="8" t="s">
        <v>426</v>
      </c>
    </row>
    <row r="456" spans="1:2" x14ac:dyDescent="0.3">
      <c r="A456" s="5" t="str">
        <f>HYPERLINK("http://www.eatonpowersource.com/products/configure/screw-in%20cartridge%20valves/details/406aa02226a","406AA02226A")</f>
        <v>406AA02226A</v>
      </c>
      <c r="B456" s="6" t="s">
        <v>427</v>
      </c>
    </row>
    <row r="457" spans="1:2" x14ac:dyDescent="0.3">
      <c r="A457" s="7" t="str">
        <f>HYPERLINK("http://www.eatonpowersource.com/products/configure/screw-in%20cartridge%20valves/details/406aa02228a","406AA02228A")</f>
        <v>406AA02228A</v>
      </c>
      <c r="B457" s="8" t="s">
        <v>428</v>
      </c>
    </row>
    <row r="458" spans="1:2" x14ac:dyDescent="0.3">
      <c r="A458" s="5" t="str">
        <f>HYPERLINK("http://www.eatonpowersource.com/products/configure/screw-in%20cartridge%20valves/details/406aa02230a","406AA02230A")</f>
        <v>406AA02230A</v>
      </c>
      <c r="B458" s="6" t="s">
        <v>429</v>
      </c>
    </row>
    <row r="459" spans="1:2" x14ac:dyDescent="0.3">
      <c r="A459" s="7" t="str">
        <f>HYPERLINK("http://www.eatonpowersource.com/products/configure/screw-in%20cartridge%20valves/details/406aa02272a","406AA02272A")</f>
        <v>406AA02272A</v>
      </c>
      <c r="B459" s="8" t="s">
        <v>430</v>
      </c>
    </row>
    <row r="460" spans="1:2" x14ac:dyDescent="0.3">
      <c r="A460" s="5" t="str">
        <f>HYPERLINK("http://www.eatonpowersource.com/products/configure/screw-in%20cartridge%20valves/details/406aa02281a","406AA02281A")</f>
        <v>406AA02281A</v>
      </c>
      <c r="B460" s="6" t="s">
        <v>431</v>
      </c>
    </row>
    <row r="461" spans="1:2" x14ac:dyDescent="0.3">
      <c r="A461" s="7" t="str">
        <f>HYPERLINK("http://www.eatonpowersource.com/products/configure/screw-in%20cartridge%20valves/details/406aa02400a","406AA02400A")</f>
        <v>406AA02400A</v>
      </c>
      <c r="B461" s="8" t="s">
        <v>432</v>
      </c>
    </row>
    <row r="462" spans="1:2" x14ac:dyDescent="0.3">
      <c r="A462" s="5" t="str">
        <f>HYPERLINK("http://www.eatonpowersource.com/products/configure/screw-in%20cartridge%20valves/details/406aa02424a","406AA02424A")</f>
        <v>406AA02424A</v>
      </c>
      <c r="B462" s="6" t="s">
        <v>433</v>
      </c>
    </row>
    <row r="463" spans="1:2" x14ac:dyDescent="0.3">
      <c r="A463" s="7" t="str">
        <f>HYPERLINK("http://www.eatonpowersource.com/products/configure/screw-in%20cartridge%20valves/details/406aa02441a","406AA02441A")</f>
        <v>406AA02441A</v>
      </c>
      <c r="B463" s="8" t="s">
        <v>434</v>
      </c>
    </row>
    <row r="464" spans="1:2" x14ac:dyDescent="0.3">
      <c r="A464" s="5" t="str">
        <f>HYPERLINK("http://www.eatonpowersource.com/products/configure/screw-in%20cartridge%20valves/details/406aa02734a","406AA02734A")</f>
        <v>406AA02734A</v>
      </c>
      <c r="B464" s="6" t="s">
        <v>435</v>
      </c>
    </row>
    <row r="465" spans="1:2" x14ac:dyDescent="0.3">
      <c r="A465" s="7" t="str">
        <f>HYPERLINK("http://www.eatonpowersource.com/products/configure/screw-in%20cartridge%20valves/details/406aa02741a","406AA02741A")</f>
        <v>406AA02741A</v>
      </c>
      <c r="B465" s="8" t="s">
        <v>436</v>
      </c>
    </row>
    <row r="466" spans="1:2" x14ac:dyDescent="0.3">
      <c r="A466" s="5" t="str">
        <f>HYPERLINK("http://www.eatonpowersource.com/products/configure/screw-in%20cartridge%20valves/details/406aa02742a","406AA02742A")</f>
        <v>406AA02742A</v>
      </c>
      <c r="B466" s="6" t="s">
        <v>437</v>
      </c>
    </row>
    <row r="467" spans="1:2" x14ac:dyDescent="0.3">
      <c r="A467" s="7" t="str">
        <f>HYPERLINK("http://www.eatonpowersource.com/products/configure/screw-in%20cartridge%20valves/details/406aa02747a","406AA02747A")</f>
        <v>406AA02747A</v>
      </c>
      <c r="B467" s="8" t="s">
        <v>438</v>
      </c>
    </row>
    <row r="468" spans="1:2" x14ac:dyDescent="0.3">
      <c r="A468" s="5" t="str">
        <f>HYPERLINK("http://www.eatonpowersource.com/products/configure/screw-in%20cartridge%20valves/details/406aa02748a","406AA02748A")</f>
        <v>406AA02748A</v>
      </c>
      <c r="B468" s="6" t="s">
        <v>439</v>
      </c>
    </row>
    <row r="469" spans="1:2" x14ac:dyDescent="0.3">
      <c r="A469" s="7" t="str">
        <f>HYPERLINK("http://www.eatonpowersource.com/products/configure/screw-in%20cartridge%20valves/details/406aa02901a","406AA02901A")</f>
        <v>406AA02901A</v>
      </c>
      <c r="B469" s="8" t="s">
        <v>440</v>
      </c>
    </row>
    <row r="470" spans="1:2" x14ac:dyDescent="0.3">
      <c r="A470" s="5" t="str">
        <f>HYPERLINK("http://www.eatonpowersource.com/products/configure/screw-in%20cartridge%20valves/details/406aa02951a","406AA02951A")</f>
        <v>406AA02951A</v>
      </c>
      <c r="B470" s="6" t="s">
        <v>441</v>
      </c>
    </row>
    <row r="471" spans="1:2" x14ac:dyDescent="0.3">
      <c r="A471" s="7" t="str">
        <f>HYPERLINK("http://www.eatonpowersource.com/products/configure/screw-in%20cartridge%20valves/details/406aa02964a","406AA02964A")</f>
        <v>406AA02964A</v>
      </c>
      <c r="B471" s="8" t="s">
        <v>442</v>
      </c>
    </row>
    <row r="472" spans="1:2" x14ac:dyDescent="0.3">
      <c r="A472" s="5" t="str">
        <f>HYPERLINK("http://www.eatonpowersource.com/products/configure/screw-in%20cartridge%20valves/details/406aa02992a","406AA02992A")</f>
        <v>406AA02992A</v>
      </c>
      <c r="B472" s="6" t="s">
        <v>443</v>
      </c>
    </row>
    <row r="473" spans="1:2" x14ac:dyDescent="0.3">
      <c r="A473" s="7" t="str">
        <f>HYPERLINK("http://www.eatonpowersource.com/products/configure/screw-in%20cartridge%20valves/details/406aa02999a","406AA02999A")</f>
        <v>406AA02999A</v>
      </c>
      <c r="B473" s="8" t="s">
        <v>444</v>
      </c>
    </row>
    <row r="474" spans="1:2" x14ac:dyDescent="0.3">
      <c r="A474" s="5" t="str">
        <f>HYPERLINK("http://www.eatonpowersource.com/products/configure/screw-in%20cartridge%20valves/details/406aa03011a","406AA03011A")</f>
        <v>406AA03011A</v>
      </c>
      <c r="B474" s="6" t="s">
        <v>445</v>
      </c>
    </row>
    <row r="475" spans="1:2" x14ac:dyDescent="0.3">
      <c r="A475" s="7" t="str">
        <f>HYPERLINK("http://www.eatonpowersource.com/products/configure/screw-in%20cartridge%20valves/details/406aa03031a","406AA03031A")</f>
        <v>406AA03031A</v>
      </c>
      <c r="B475" s="8" t="s">
        <v>446</v>
      </c>
    </row>
    <row r="476" spans="1:2" x14ac:dyDescent="0.3">
      <c r="A476" s="5" t="str">
        <f>HYPERLINK("http://www.eatonpowersource.com/products/configure/screw-in%20cartridge%20valves/details/406aa03042a","406AA03042A")</f>
        <v>406AA03042A</v>
      </c>
      <c r="B476" s="6" t="s">
        <v>447</v>
      </c>
    </row>
    <row r="477" spans="1:2" x14ac:dyDescent="0.3">
      <c r="A477" s="7" t="str">
        <f>HYPERLINK("http://www.eatonpowersource.com/products/configure/screw-in%20cartridge%20valves/details/406aa03052a","406AA03052A")</f>
        <v>406AA03052A</v>
      </c>
      <c r="B477" s="8" t="s">
        <v>448</v>
      </c>
    </row>
    <row r="478" spans="1:2" x14ac:dyDescent="0.3">
      <c r="A478" s="5" t="str">
        <f>HYPERLINK("http://www.eatonpowersource.com/products/configure/screw-in%20cartridge%20valves/details/406aa03061a","406AA03061A")</f>
        <v>406AA03061A</v>
      </c>
      <c r="B478" s="6" t="s">
        <v>449</v>
      </c>
    </row>
    <row r="479" spans="1:2" x14ac:dyDescent="0.3">
      <c r="A479" s="7" t="str">
        <f>HYPERLINK("http://www.eatonpowersource.com/products/configure/screw-in%20cartridge%20valves/details/406aa03062a","406AA03062A")</f>
        <v>406AA03062A</v>
      </c>
      <c r="B479" s="8" t="s">
        <v>450</v>
      </c>
    </row>
    <row r="480" spans="1:2" x14ac:dyDescent="0.3">
      <c r="A480" s="5" t="str">
        <f>HYPERLINK("http://www.eatonpowersource.com/products/configure/screw-in%20cartridge%20valves/details/406aa03071a","406AA03071A")</f>
        <v>406AA03071A</v>
      </c>
      <c r="B480" s="6" t="s">
        <v>451</v>
      </c>
    </row>
    <row r="481" spans="1:2" x14ac:dyDescent="0.3">
      <c r="A481" s="7" t="str">
        <f>HYPERLINK("http://www.eatonpowersource.com/products/configure/screw-in%20cartridge%20valves/details/406aa03076a","406AA03076A")</f>
        <v>406AA03076A</v>
      </c>
      <c r="B481" s="8" t="s">
        <v>452</v>
      </c>
    </row>
    <row r="482" spans="1:2" x14ac:dyDescent="0.3">
      <c r="A482" s="5" t="str">
        <f>HYPERLINK("http://www.eatonpowersource.com/products/configure/screw-in%20cartridge%20valves/details/406aa03088a","406AA03088A")</f>
        <v>406AA03088A</v>
      </c>
      <c r="B482" s="6" t="s">
        <v>453</v>
      </c>
    </row>
    <row r="483" spans="1:2" x14ac:dyDescent="0.3">
      <c r="A483" s="7" t="str">
        <f>HYPERLINK("http://www.eatonpowersource.com/products/configure/screw-in%20cartridge%20valves/details/406aa03091a","406AA03091A")</f>
        <v>406AA03091A</v>
      </c>
      <c r="B483" s="8" t="s">
        <v>454</v>
      </c>
    </row>
    <row r="484" spans="1:2" x14ac:dyDescent="0.3">
      <c r="A484" s="5" t="str">
        <f>HYPERLINK("http://www.eatonpowersource.com/products/configure/screw-in%20cartridge%20valves/details/406aa03097a","406AA03097A")</f>
        <v>406AA03097A</v>
      </c>
      <c r="B484" s="6" t="s">
        <v>455</v>
      </c>
    </row>
    <row r="485" spans="1:2" x14ac:dyDescent="0.3">
      <c r="A485" s="7" t="str">
        <f>HYPERLINK("http://www.eatonpowersource.com/products/configure/screw-in%20cartridge%20valves/details/406aa03105a","406AA03105A")</f>
        <v>406AA03105A</v>
      </c>
      <c r="B485" s="8" t="s">
        <v>456</v>
      </c>
    </row>
    <row r="486" spans="1:2" x14ac:dyDescent="0.3">
      <c r="A486" s="5" t="str">
        <f>HYPERLINK("http://www.eatonpowersource.com/products/configure/screw-in%20cartridge%20valves/details/406aa03112a","406AA03112A")</f>
        <v>406AA03112A</v>
      </c>
      <c r="B486" s="6" t="s">
        <v>457</v>
      </c>
    </row>
    <row r="487" spans="1:2" x14ac:dyDescent="0.3">
      <c r="A487" s="7" t="str">
        <f>HYPERLINK("http://www.eatonpowersource.com/products/configure/screw-in%20cartridge%20valves/details/406aa03113a","406AA03113A")</f>
        <v>406AA03113A</v>
      </c>
      <c r="B487" s="8" t="s">
        <v>458</v>
      </c>
    </row>
    <row r="488" spans="1:2" x14ac:dyDescent="0.3">
      <c r="A488" s="5" t="str">
        <f>HYPERLINK("http://www.eatonpowersource.com/products/configure/screw-in%20cartridge%20valves/details/406aa03135a","406AA03135A")</f>
        <v>406AA03135A</v>
      </c>
      <c r="B488" s="6" t="s">
        <v>459</v>
      </c>
    </row>
    <row r="489" spans="1:2" x14ac:dyDescent="0.3">
      <c r="A489" s="7" t="str">
        <f>HYPERLINK("http://www.eatonpowersource.com/products/configure/screw-in%20cartridge%20valves/details/406aa03144a","406AA03144A")</f>
        <v>406AA03144A</v>
      </c>
      <c r="B489" s="8" t="s">
        <v>460</v>
      </c>
    </row>
    <row r="490" spans="1:2" x14ac:dyDescent="0.3">
      <c r="A490" s="5" t="str">
        <f>HYPERLINK("http://www.eatonpowersource.com/products/configure/screw-in%20cartridge%20valves/details/406aa03151a","406AA03151A")</f>
        <v>406AA03151A</v>
      </c>
      <c r="B490" s="6" t="s">
        <v>461</v>
      </c>
    </row>
    <row r="491" spans="1:2" x14ac:dyDescent="0.3">
      <c r="A491" s="7" t="str">
        <f>HYPERLINK("http://www.eatonpowersource.com/products/configure/screw-in%20cartridge%20valves/details/406aa03172a","406AA03172A")</f>
        <v>406AA03172A</v>
      </c>
      <c r="B491" s="8" t="s">
        <v>462</v>
      </c>
    </row>
    <row r="492" spans="1:2" x14ac:dyDescent="0.3">
      <c r="A492" s="5" t="str">
        <f>HYPERLINK("http://www.eatonpowersource.com/products/configure/screw-in%20cartridge%20valves/details/406aa03173a","406AA03173A")</f>
        <v>406AA03173A</v>
      </c>
      <c r="B492" s="6" t="s">
        <v>463</v>
      </c>
    </row>
    <row r="493" spans="1:2" x14ac:dyDescent="0.3">
      <c r="A493" s="7" t="str">
        <f>HYPERLINK("http://www.eatonpowersource.com/products/configure/screw-in%20cartridge%20valves/details/406aa03177a","406AA03177A")</f>
        <v>406AA03177A</v>
      </c>
      <c r="B493" s="8" t="s">
        <v>464</v>
      </c>
    </row>
    <row r="494" spans="1:2" x14ac:dyDescent="0.3">
      <c r="A494" s="5" t="str">
        <f>HYPERLINK("http://www.eatonpowersource.com/products/configure/screw-in%20cartridge%20valves/details/406aa03190a","406AA03190A")</f>
        <v>406AA03190A</v>
      </c>
      <c r="B494" s="6" t="s">
        <v>465</v>
      </c>
    </row>
    <row r="495" spans="1:2" x14ac:dyDescent="0.3">
      <c r="A495" s="7" t="str">
        <f>HYPERLINK("http://www.eatonpowersource.com/products/configure/screw-in%20cartridge%20valves/details/406aa03235a","406AA03235A")</f>
        <v>406AA03235A</v>
      </c>
      <c r="B495" s="8" t="s">
        <v>466</v>
      </c>
    </row>
    <row r="496" spans="1:2" x14ac:dyDescent="0.3">
      <c r="A496" s="5" t="str">
        <f>HYPERLINK("http://www.eatonpowersource.com/products/configure/screw-in%20cartridge%20valves/details/406aa03256a","406AA03256A")</f>
        <v>406AA03256A</v>
      </c>
      <c r="B496" s="6" t="s">
        <v>467</v>
      </c>
    </row>
    <row r="497" spans="1:2" x14ac:dyDescent="0.3">
      <c r="A497" s="7" t="str">
        <f>HYPERLINK("http://www.eatonpowersource.com/products/configure/screw-in%20cartridge%20valves/details/406aa03265a","406AA03265A")</f>
        <v>406AA03265A</v>
      </c>
      <c r="B497" s="8" t="s">
        <v>468</v>
      </c>
    </row>
    <row r="498" spans="1:2" x14ac:dyDescent="0.3">
      <c r="A498" s="5" t="str">
        <f>HYPERLINK("http://www.eatonpowersource.com/products/configure/screw-in%20cartridge%20valves/details/406aa03266a","406AA03266A")</f>
        <v>406AA03266A</v>
      </c>
      <c r="B498" s="6" t="s">
        <v>469</v>
      </c>
    </row>
    <row r="499" spans="1:2" x14ac:dyDescent="0.3">
      <c r="A499" s="7" t="str">
        <f>HYPERLINK("http://www.eatonpowersource.com/products/configure/screw-in%20cartridge%20valves/details/406aa03267a","406AA03267A")</f>
        <v>406AA03267A</v>
      </c>
      <c r="B499" s="8" t="s">
        <v>470</v>
      </c>
    </row>
    <row r="500" spans="1:2" x14ac:dyDescent="0.3">
      <c r="A500" s="5" t="str">
        <f>HYPERLINK("http://www.eatonpowersource.com/products/configure/screw-in%20cartridge%20valves/details/406aa03268a","406AA03268A")</f>
        <v>406AA03268A</v>
      </c>
      <c r="B500" s="6" t="s">
        <v>471</v>
      </c>
    </row>
    <row r="501" spans="1:2" x14ac:dyDescent="0.3">
      <c r="A501" s="7" t="str">
        <f>HYPERLINK("http://www.eatonpowersource.com/products/configure/screw-in%20cartridge%20valves/details/406aa03270a","406AA03270A")</f>
        <v>406AA03270A</v>
      </c>
      <c r="B501" s="8" t="s">
        <v>472</v>
      </c>
    </row>
    <row r="502" spans="1:2" x14ac:dyDescent="0.3">
      <c r="A502" s="5" t="str">
        <f>HYPERLINK("http://www.eatonpowersource.com/products/configure/screw-in%20cartridge%20valves/details/406aa03272a","406AA03272A")</f>
        <v>406AA03272A</v>
      </c>
      <c r="B502" s="6" t="s">
        <v>473</v>
      </c>
    </row>
    <row r="503" spans="1:2" x14ac:dyDescent="0.3">
      <c r="A503" s="7" t="str">
        <f>HYPERLINK("http://www.eatonpowersource.com/products/configure/screw-in%20cartridge%20valves/details/406aa03276a","406AA03276A")</f>
        <v>406AA03276A</v>
      </c>
      <c r="B503" s="8" t="s">
        <v>474</v>
      </c>
    </row>
    <row r="504" spans="1:2" x14ac:dyDescent="0.3">
      <c r="A504" s="5" t="str">
        <f>HYPERLINK("http://www.eatonpowersource.com/products/configure/screw-in%20cartridge%20valves/details/406aa03282a","406AA03282A")</f>
        <v>406AA03282A</v>
      </c>
      <c r="B504" s="6" t="s">
        <v>475</v>
      </c>
    </row>
    <row r="505" spans="1:2" x14ac:dyDescent="0.3">
      <c r="A505" s="7" t="str">
        <f>HYPERLINK("http://www.eatonpowersource.com/products/configure/screw-in%20cartridge%20valves/details/406aa03283a","406AA03283A")</f>
        <v>406AA03283A</v>
      </c>
      <c r="B505" s="8" t="s">
        <v>476</v>
      </c>
    </row>
    <row r="506" spans="1:2" x14ac:dyDescent="0.3">
      <c r="A506" s="5" t="str">
        <f>HYPERLINK("http://www.eatonpowersource.com/products/configure/screw-in%20cartridge%20valves/details/406aa03305a","406AA03305A")</f>
        <v>406AA03305A</v>
      </c>
      <c r="B506" s="6" t="s">
        <v>477</v>
      </c>
    </row>
    <row r="507" spans="1:2" x14ac:dyDescent="0.3">
      <c r="A507" s="7" t="str">
        <f>HYPERLINK("http://www.eatonpowersource.com/products/configure/screw-in%20cartridge%20valves/details/406aa03315a","406AA03315A")</f>
        <v>406AA03315A</v>
      </c>
      <c r="B507" s="8" t="s">
        <v>478</v>
      </c>
    </row>
    <row r="508" spans="1:2" x14ac:dyDescent="0.3">
      <c r="A508" s="5" t="str">
        <f>HYPERLINK("http://www.eatonpowersource.com/products/configure/screw-in%20cartridge%20valves/details/406aa03318a","406AA03318A")</f>
        <v>406AA03318A</v>
      </c>
      <c r="B508" s="6" t="s">
        <v>479</v>
      </c>
    </row>
    <row r="509" spans="1:2" x14ac:dyDescent="0.3">
      <c r="A509" s="7" t="str">
        <f>HYPERLINK("http://www.eatonpowersource.com/products/configure/screw-in%20cartridge%20valves/details/406aa03351a","406AA03351A")</f>
        <v>406AA03351A</v>
      </c>
      <c r="B509" s="8" t="s">
        <v>480</v>
      </c>
    </row>
    <row r="510" spans="1:2" x14ac:dyDescent="0.3">
      <c r="A510" s="5" t="str">
        <f>HYPERLINK("http://www.eatonpowersource.com/products/configure/screw-in%20cartridge%20valves/details/406aa03361a","406AA03361A")</f>
        <v>406AA03361A</v>
      </c>
      <c r="B510" s="6" t="s">
        <v>481</v>
      </c>
    </row>
    <row r="511" spans="1:2" x14ac:dyDescent="0.3">
      <c r="A511" s="7" t="str">
        <f>HYPERLINK("http://www.eatonpowersource.com/products/configure/screw-in%20cartridge%20valves/details/406aa03371a","406AA03371A")</f>
        <v>406AA03371A</v>
      </c>
      <c r="B511" s="8" t="s">
        <v>482</v>
      </c>
    </row>
    <row r="512" spans="1:2" x14ac:dyDescent="0.3">
      <c r="A512" s="5" t="str">
        <f>HYPERLINK("http://www.eatonpowersource.com/products/configure/screw-in%20cartridge%20valves/details/406aa03375a","406AA03375A")</f>
        <v>406AA03375A</v>
      </c>
      <c r="B512" s="6" t="s">
        <v>483</v>
      </c>
    </row>
    <row r="513" spans="1:2" x14ac:dyDescent="0.3">
      <c r="A513" s="7" t="str">
        <f>HYPERLINK("http://www.eatonpowersource.com/products/configure/screw-in%20cartridge%20valves/details/406aa03377a","406AA03377A")</f>
        <v>406AA03377A</v>
      </c>
      <c r="B513" s="8" t="s">
        <v>484</v>
      </c>
    </row>
    <row r="514" spans="1:2" x14ac:dyDescent="0.3">
      <c r="A514" s="5" t="str">
        <f>HYPERLINK("http://www.eatonpowersource.com/products/configure/screw-in%20cartridge%20valves/details/406aa03380a","406AA03380A")</f>
        <v>406AA03380A</v>
      </c>
      <c r="B514" s="6" t="s">
        <v>485</v>
      </c>
    </row>
    <row r="515" spans="1:2" x14ac:dyDescent="0.3">
      <c r="A515" s="7" t="str">
        <f>HYPERLINK("http://www.eatonpowersource.com/products/configure/screw-in%20cartridge%20valves/details/406aa03394a","406AA03394A")</f>
        <v>406AA03394A</v>
      </c>
      <c r="B515" s="8" t="s">
        <v>486</v>
      </c>
    </row>
    <row r="516" spans="1:2" x14ac:dyDescent="0.3">
      <c r="A516" s="5" t="str">
        <f>HYPERLINK("http://www.eatonpowersource.com/products/configure/screw-in%20cartridge%20valves/details/406aa03398a","406AA03398A")</f>
        <v>406AA03398A</v>
      </c>
      <c r="B516" s="6" t="s">
        <v>487</v>
      </c>
    </row>
    <row r="517" spans="1:2" x14ac:dyDescent="0.3">
      <c r="A517" s="7" t="str">
        <f>HYPERLINK("http://www.eatonpowersource.com/products/configure/screw-in%20cartridge%20valves/details/406aa03401a","406AA03401A")</f>
        <v>406AA03401A</v>
      </c>
      <c r="B517" s="8" t="s">
        <v>488</v>
      </c>
    </row>
    <row r="518" spans="1:2" x14ac:dyDescent="0.3">
      <c r="A518" s="5" t="str">
        <f>HYPERLINK("http://www.eatonpowersource.com/products/configure/screw-in%20cartridge%20valves/details/406aa03403a","406AA03403A")</f>
        <v>406AA03403A</v>
      </c>
      <c r="B518" s="6" t="s">
        <v>489</v>
      </c>
    </row>
    <row r="519" spans="1:2" x14ac:dyDescent="0.3">
      <c r="A519" s="7" t="str">
        <f>HYPERLINK("http://www.eatonpowersource.com/products/configure/screw-in%20cartridge%20valves/details/406aa03405a","406AA03405A")</f>
        <v>406AA03405A</v>
      </c>
      <c r="B519" s="8" t="s">
        <v>490</v>
      </c>
    </row>
    <row r="520" spans="1:2" x14ac:dyDescent="0.3">
      <c r="A520" s="5" t="str">
        <f>HYPERLINK("http://www.eatonpowersource.com/products/configure/screw-in%20cartridge%20valves/details/406aa03406a","406AA03406A")</f>
        <v>406AA03406A</v>
      </c>
      <c r="B520" s="6" t="s">
        <v>491</v>
      </c>
    </row>
    <row r="521" spans="1:2" x14ac:dyDescent="0.3">
      <c r="A521" s="7" t="str">
        <f>HYPERLINK("http://www.eatonpowersource.com/products/configure/screw-in%20cartridge%20valves/details/406aa03414a","406AA03414A")</f>
        <v>406AA03414A</v>
      </c>
      <c r="B521" s="8" t="s">
        <v>492</v>
      </c>
    </row>
    <row r="522" spans="1:2" x14ac:dyDescent="0.3">
      <c r="A522" s="5" t="str">
        <f>HYPERLINK("http://www.eatonpowersource.com/products/configure/screw-in%20cartridge%20valves/details/406aa03419a","406AA03419A")</f>
        <v>406AA03419A</v>
      </c>
      <c r="B522" s="6" t="s">
        <v>493</v>
      </c>
    </row>
    <row r="523" spans="1:2" x14ac:dyDescent="0.3">
      <c r="A523" s="7" t="str">
        <f>HYPERLINK("http://www.eatonpowersource.com/products/configure/screw-in%20cartridge%20valves/details/406aa03424a","406AA03424A")</f>
        <v>406AA03424A</v>
      </c>
      <c r="B523" s="8" t="s">
        <v>494</v>
      </c>
    </row>
    <row r="524" spans="1:2" x14ac:dyDescent="0.3">
      <c r="A524" s="5" t="str">
        <f>HYPERLINK("http://www.eatonpowersource.com/products/configure/screw-in%20cartridge%20valves/details/406aa03429a","406AA03429A")</f>
        <v>406AA03429A</v>
      </c>
      <c r="B524" s="6" t="s">
        <v>495</v>
      </c>
    </row>
    <row r="525" spans="1:2" x14ac:dyDescent="0.3">
      <c r="A525" s="7" t="str">
        <f>HYPERLINK("http://www.eatonpowersource.com/products/configure/screw-in%20cartridge%20valves/details/406aa03430a","406AA03430A")</f>
        <v>406AA03430A</v>
      </c>
      <c r="B525" s="8" t="s">
        <v>496</v>
      </c>
    </row>
    <row r="526" spans="1:2" x14ac:dyDescent="0.3">
      <c r="A526" s="5" t="str">
        <f>HYPERLINK("http://www.eatonpowersource.com/products/configure/screw-in%20cartridge%20valves/details/406aa03433a","406AA03433A")</f>
        <v>406AA03433A</v>
      </c>
      <c r="B526" s="6" t="s">
        <v>497</v>
      </c>
    </row>
    <row r="527" spans="1:2" x14ac:dyDescent="0.3">
      <c r="A527" s="7" t="str">
        <f>HYPERLINK("http://www.eatonpowersource.com/products/configure/screw-in%20cartridge%20valves/details/406aa03434a","406AA03434A")</f>
        <v>406AA03434A</v>
      </c>
      <c r="B527" s="8" t="s">
        <v>498</v>
      </c>
    </row>
    <row r="528" spans="1:2" x14ac:dyDescent="0.3">
      <c r="A528" s="5" t="str">
        <f>HYPERLINK("http://www.eatonpowersource.com/products/configure/screw-in%20cartridge%20valves/details/406aa03435a","406AA03435A")</f>
        <v>406AA03435A</v>
      </c>
      <c r="B528" s="6" t="s">
        <v>499</v>
      </c>
    </row>
    <row r="529" spans="1:2" x14ac:dyDescent="0.3">
      <c r="A529" s="7" t="str">
        <f>HYPERLINK("http://www.eatonpowersource.com/products/configure/screw-in%20cartridge%20valves/details/406aa03446a","406AA03446A")</f>
        <v>406AA03446A</v>
      </c>
      <c r="B529" s="8" t="s">
        <v>500</v>
      </c>
    </row>
    <row r="530" spans="1:2" x14ac:dyDescent="0.3">
      <c r="A530" s="5" t="str">
        <f>HYPERLINK("http://www.eatonpowersource.com/products/configure/screw-in%20cartridge%20valves/details/406aa03450a","406AA03450A")</f>
        <v>406AA03450A</v>
      </c>
      <c r="B530" s="6" t="s">
        <v>501</v>
      </c>
    </row>
    <row r="531" spans="1:2" x14ac:dyDescent="0.3">
      <c r="A531" s="7" t="str">
        <f>HYPERLINK("http://www.eatonpowersource.com/products/configure/screw-in%20cartridge%20valves/details/406aa03465a","406AA03465A")</f>
        <v>406AA03465A</v>
      </c>
      <c r="B531" s="8" t="s">
        <v>502</v>
      </c>
    </row>
    <row r="532" spans="1:2" x14ac:dyDescent="0.3">
      <c r="A532" s="5" t="str">
        <f>HYPERLINK("http://www.eatonpowersource.com/products/configure/screw-in%20cartridge%20valves/details/406aa03466a","406AA03466A")</f>
        <v>406AA03466A</v>
      </c>
      <c r="B532" s="6" t="s">
        <v>503</v>
      </c>
    </row>
    <row r="533" spans="1:2" x14ac:dyDescent="0.3">
      <c r="A533" s="7" t="str">
        <f>HYPERLINK("http://www.eatonpowersource.com/products/configure/screw-in%20cartridge%20valves/details/406aa03486a","406AA03486A")</f>
        <v>406AA03486A</v>
      </c>
      <c r="B533" s="8" t="s">
        <v>504</v>
      </c>
    </row>
    <row r="534" spans="1:2" x14ac:dyDescent="0.3">
      <c r="A534" s="5" t="str">
        <f>HYPERLINK("http://www.eatonpowersource.com/products/configure/screw-in%20cartridge%20valves/details/406aa03488a","406AA03488A")</f>
        <v>406AA03488A</v>
      </c>
      <c r="B534" s="6" t="s">
        <v>505</v>
      </c>
    </row>
    <row r="535" spans="1:2" x14ac:dyDescent="0.3">
      <c r="A535" s="7" t="str">
        <f>HYPERLINK("http://www.eatonpowersource.com/products/configure/screw-in%20cartridge%20valves/details/406aa03490a","406AA03490A")</f>
        <v>406AA03490A</v>
      </c>
      <c r="B535" s="8" t="s">
        <v>506</v>
      </c>
    </row>
    <row r="536" spans="1:2" x14ac:dyDescent="0.3">
      <c r="A536" s="5" t="str">
        <f>HYPERLINK("http://www.eatonpowersource.com/products/configure/screw-in%20cartridge%20valves/details/406aa03492a","406AA03492A")</f>
        <v>406AA03492A</v>
      </c>
      <c r="B536" s="6" t="s">
        <v>507</v>
      </c>
    </row>
    <row r="537" spans="1:2" x14ac:dyDescent="0.3">
      <c r="A537" s="7" t="str">
        <f>HYPERLINK("http://www.eatonpowersource.com/products/configure/screw-in%20cartridge%20valves/details/406aa03495a","406AA03495A")</f>
        <v>406AA03495A</v>
      </c>
      <c r="B537" s="8" t="s">
        <v>508</v>
      </c>
    </row>
    <row r="538" spans="1:2" x14ac:dyDescent="0.3">
      <c r="A538" s="5" t="str">
        <f>HYPERLINK("http://www.eatonpowersource.com/products/configure/screw-in%20cartridge%20valves/details/406aa03496a","406AA03496A")</f>
        <v>406AA03496A</v>
      </c>
      <c r="B538" s="6" t="s">
        <v>509</v>
      </c>
    </row>
    <row r="539" spans="1:2" x14ac:dyDescent="0.3">
      <c r="A539" s="7" t="str">
        <f>HYPERLINK("http://www.eatonpowersource.com/products/configure/screw-in%20cartridge%20valves/details/406aa03497a","406AA03497A")</f>
        <v>406AA03497A</v>
      </c>
      <c r="B539" s="8" t="s">
        <v>510</v>
      </c>
    </row>
    <row r="540" spans="1:2" x14ac:dyDescent="0.3">
      <c r="A540" s="5" t="str">
        <f>HYPERLINK("http://www.eatonpowersource.com/products/configure/screw-in%20cartridge%20valves/details/406aa03498a","406AA03498A")</f>
        <v>406AA03498A</v>
      </c>
      <c r="B540" s="6" t="s">
        <v>511</v>
      </c>
    </row>
    <row r="541" spans="1:2" x14ac:dyDescent="0.3">
      <c r="A541" s="7" t="str">
        <f>HYPERLINK("http://www.eatonpowersource.com/products/configure/screw-in%20cartridge%20valves/details/406aa03512a","406AA03512A")</f>
        <v>406AA03512A</v>
      </c>
      <c r="B541" s="8" t="s">
        <v>512</v>
      </c>
    </row>
    <row r="542" spans="1:2" x14ac:dyDescent="0.3">
      <c r="A542" s="5" t="str">
        <f>HYPERLINK("http://www.eatonpowersource.com/products/configure/screw-in%20cartridge%20valves/details/406aa03517a","406AA03517A")</f>
        <v>406AA03517A</v>
      </c>
      <c r="B542" s="6" t="s">
        <v>513</v>
      </c>
    </row>
    <row r="543" spans="1:2" x14ac:dyDescent="0.3">
      <c r="A543" s="7" t="str">
        <f>HYPERLINK("http://www.eatonpowersource.com/products/configure/screw-in%20cartridge%20valves/details/406aa03538a","406AA03538A")</f>
        <v>406AA03538A</v>
      </c>
      <c r="B543" s="8" t="s">
        <v>514</v>
      </c>
    </row>
    <row r="544" spans="1:2" x14ac:dyDescent="0.3">
      <c r="A544" s="5" t="str">
        <f>HYPERLINK("http://www.eatonpowersource.com/products/configure/screw-in%20cartridge%20valves/details/406aa03541a","406AA03541A")</f>
        <v>406AA03541A</v>
      </c>
      <c r="B544" s="6" t="s">
        <v>515</v>
      </c>
    </row>
    <row r="545" spans="1:2" x14ac:dyDescent="0.3">
      <c r="A545" s="7" t="str">
        <f>HYPERLINK("http://www.eatonpowersource.com/products/configure/screw-in%20cartridge%20valves/details/406aa03543a","406AA03543A")</f>
        <v>406AA03543A</v>
      </c>
      <c r="B545" s="8" t="s">
        <v>516</v>
      </c>
    </row>
    <row r="546" spans="1:2" x14ac:dyDescent="0.3">
      <c r="A546" s="5" t="str">
        <f>HYPERLINK("http://www.eatonpowersource.com/products/configure/screw-in%20cartridge%20valves/details/406aa03544a","406AA03544A")</f>
        <v>406AA03544A</v>
      </c>
      <c r="B546" s="6" t="s">
        <v>517</v>
      </c>
    </row>
    <row r="547" spans="1:2" x14ac:dyDescent="0.3">
      <c r="A547" s="7" t="str">
        <f>HYPERLINK("http://www.eatonpowersource.com/products/configure/screw-in%20cartridge%20valves/details/406aa03559a","406AA03559A")</f>
        <v>406AA03559A</v>
      </c>
      <c r="B547" s="8" t="s">
        <v>518</v>
      </c>
    </row>
    <row r="548" spans="1:2" x14ac:dyDescent="0.3">
      <c r="A548" s="5" t="str">
        <f>HYPERLINK("http://www.eatonpowersource.com/products/configure/screw-in%20cartridge%20valves/details/407aa01875a","407AA01875A")</f>
        <v>407AA01875A</v>
      </c>
      <c r="B548" s="6" t="s">
        <v>519</v>
      </c>
    </row>
    <row r="549" spans="1:2" x14ac:dyDescent="0.3">
      <c r="A549" s="7" t="str">
        <f>HYPERLINK("http://www.eatonpowersource.com/products/configure/screw-in%20cartridge%20valves/details/625aa00001a","625AA00001A")</f>
        <v>625AA00001A</v>
      </c>
      <c r="B549" s="8" t="s">
        <v>520</v>
      </c>
    </row>
    <row r="550" spans="1:2" x14ac:dyDescent="0.3">
      <c r="A550" s="5" t="str">
        <f>HYPERLINK("http://www.eatonpowersource.com/products/configure/screw-in%20cartridge%20valves/details/406aa00051a","406AA00051A")</f>
        <v>406AA00051A</v>
      </c>
      <c r="B550" s="6" t="s">
        <v>521</v>
      </c>
    </row>
    <row r="551" spans="1:2" x14ac:dyDescent="0.3">
      <c r="A551" s="7" t="str">
        <f>HYPERLINK("http://www.eatonpowersource.com/products/configure/screw-in%20cartridge%20valves/details/406aa00052a","406AA00052A")</f>
        <v>406AA00052A</v>
      </c>
      <c r="B551" s="8" t="s">
        <v>522</v>
      </c>
    </row>
    <row r="552" spans="1:2" x14ac:dyDescent="0.3">
      <c r="A552" s="5" t="str">
        <f>HYPERLINK("http://www.eatonpowersource.com/products/configure/screw-in%20cartridge%20valves/details/406aa00077a","406AA00077A")</f>
        <v>406AA00077A</v>
      </c>
      <c r="B552" s="6" t="s">
        <v>523</v>
      </c>
    </row>
    <row r="553" spans="1:2" x14ac:dyDescent="0.3">
      <c r="A553" s="7" t="str">
        <f>HYPERLINK("http://www.eatonpowersource.com/products/configure/screw-in%20cartridge%20valves/details/406aa00099a","406AA00099A")</f>
        <v>406AA00099A</v>
      </c>
      <c r="B553" s="8" t="s">
        <v>524</v>
      </c>
    </row>
    <row r="554" spans="1:2" x14ac:dyDescent="0.3">
      <c r="A554" s="5" t="str">
        <f>HYPERLINK("http://www.eatonpowersource.com/products/configure/screw-in%20cartridge%20valves/details/406aa00100a","406AA00100A")</f>
        <v>406AA00100A</v>
      </c>
      <c r="B554" s="6" t="s">
        <v>525</v>
      </c>
    </row>
    <row r="555" spans="1:2" x14ac:dyDescent="0.3">
      <c r="A555" s="7" t="str">
        <f>HYPERLINK("http://www.eatonpowersource.com/products/configure/screw-in%20cartridge%20valves/details/406aa00420a","406AA00420A")</f>
        <v>406AA00420A</v>
      </c>
      <c r="B555" s="8" t="s">
        <v>526</v>
      </c>
    </row>
    <row r="556" spans="1:2" x14ac:dyDescent="0.3">
      <c r="A556" s="5" t="str">
        <f>HYPERLINK("http://www.eatonpowersource.com/products/configure/screw-in%20cartridge%20valves/details/406aa00424a","406AA00424A")</f>
        <v>406AA00424A</v>
      </c>
      <c r="B556" s="6" t="s">
        <v>527</v>
      </c>
    </row>
    <row r="557" spans="1:2" x14ac:dyDescent="0.3">
      <c r="A557" s="7" t="str">
        <f>HYPERLINK("http://www.eatonpowersource.com/products/configure/screw-in%20cartridge%20valves/details/406aa00447a","406AA00447A")</f>
        <v>406AA00447A</v>
      </c>
      <c r="B557" s="8" t="s">
        <v>528</v>
      </c>
    </row>
    <row r="558" spans="1:2" x14ac:dyDescent="0.3">
      <c r="A558" s="5" t="str">
        <f>HYPERLINK("http://www.eatonpowersource.com/products/configure/screw-in%20cartridge%20valves/details/406aa00516a","406AA00516A")</f>
        <v>406AA00516A</v>
      </c>
      <c r="B558" s="6" t="s">
        <v>529</v>
      </c>
    </row>
    <row r="559" spans="1:2" x14ac:dyDescent="0.3">
      <c r="A559" s="7" t="str">
        <f>HYPERLINK("http://www.eatonpowersource.com/products/configure/screw-in%20cartridge%20valves/details/406aa00518a","406AA00518A")</f>
        <v>406AA00518A</v>
      </c>
      <c r="B559" s="8" t="s">
        <v>530</v>
      </c>
    </row>
    <row r="560" spans="1:2" x14ac:dyDescent="0.3">
      <c r="A560" s="5" t="str">
        <f>HYPERLINK("http://www.eatonpowersource.com/products/configure/screw-in%20cartridge%20valves/details/406aa00520a","406AA00520A")</f>
        <v>406AA00520A</v>
      </c>
      <c r="B560" s="6" t="s">
        <v>531</v>
      </c>
    </row>
    <row r="561" spans="1:2" x14ac:dyDescent="0.3">
      <c r="A561" s="7" t="str">
        <f>HYPERLINK("http://www.eatonpowersource.com/products/configure/screw-in%20cartridge%20valves/details/406aa00545a","406AA00545A")</f>
        <v>406AA00545A</v>
      </c>
      <c r="B561" s="8" t="s">
        <v>532</v>
      </c>
    </row>
    <row r="562" spans="1:2" x14ac:dyDescent="0.3">
      <c r="A562" s="5" t="str">
        <f>HYPERLINK("http://www.eatonpowersource.com/products/configure/screw-in%20cartridge%20valves/details/406aa00549a","406AA00549A")</f>
        <v>406AA00549A</v>
      </c>
      <c r="B562" s="6" t="s">
        <v>533</v>
      </c>
    </row>
    <row r="563" spans="1:2" x14ac:dyDescent="0.3">
      <c r="A563" s="7" t="str">
        <f>HYPERLINK("http://www.eatonpowersource.com/products/configure/screw-in%20cartridge%20valves/details/406aa00832a","406AA00832A")</f>
        <v>406AA00832A</v>
      </c>
      <c r="B563" s="8" t="s">
        <v>534</v>
      </c>
    </row>
    <row r="564" spans="1:2" x14ac:dyDescent="0.3">
      <c r="A564" s="5" t="str">
        <f>HYPERLINK("http://www.eatonpowersource.com/products/configure/screw-in%20cartridge%20valves/details/406aa01034a","406AA01034A")</f>
        <v>406AA01034A</v>
      </c>
      <c r="B564" s="6" t="s">
        <v>535</v>
      </c>
    </row>
    <row r="565" spans="1:2" x14ac:dyDescent="0.3">
      <c r="A565" s="7" t="str">
        <f>HYPERLINK("http://www.eatonpowersource.com/products/configure/screw-in%20cartridge%20valves/details/406aa01043a","406AA01043A")</f>
        <v>406AA01043A</v>
      </c>
      <c r="B565" s="8" t="s">
        <v>536</v>
      </c>
    </row>
    <row r="566" spans="1:2" x14ac:dyDescent="0.3">
      <c r="A566" s="5" t="str">
        <f>HYPERLINK("http://www.eatonpowersource.com/products/configure/screw-in%20cartridge%20valves/details/406aa01555a","406AA01555A")</f>
        <v>406AA01555A</v>
      </c>
      <c r="B566" s="6" t="s">
        <v>537</v>
      </c>
    </row>
    <row r="567" spans="1:2" x14ac:dyDescent="0.3">
      <c r="A567" s="7" t="str">
        <f>HYPERLINK("http://www.eatonpowersource.com/products/configure/screw-in%20cartridge%20valves/details/406aa01632a","406AA01632A")</f>
        <v>406AA01632A</v>
      </c>
      <c r="B567" s="8" t="s">
        <v>538</v>
      </c>
    </row>
    <row r="568" spans="1:2" x14ac:dyDescent="0.3">
      <c r="A568" s="5" t="str">
        <f>HYPERLINK("http://www.eatonpowersource.com/products/configure/screw-in%20cartridge%20valves/details/406aa01909a","406AA01909A")</f>
        <v>406AA01909A</v>
      </c>
      <c r="B568" s="6" t="s">
        <v>539</v>
      </c>
    </row>
    <row r="569" spans="1:2" x14ac:dyDescent="0.3">
      <c r="A569" s="7" t="str">
        <f>HYPERLINK("http://www.eatonpowersource.com/products/configure/screw-in%20cartridge%20valves/details/406aa02732a","406AA02732A")</f>
        <v>406AA02732A</v>
      </c>
      <c r="B569" s="8" t="s">
        <v>540</v>
      </c>
    </row>
    <row r="570" spans="1:2" x14ac:dyDescent="0.3">
      <c r="A570" s="5" t="str">
        <f>HYPERLINK("http://www.eatonpowersource.com/products/configure/screw-in%20cartridge%20valves/details/406aa03411a","406AA03411A")</f>
        <v>406AA03411A</v>
      </c>
      <c r="B570" s="6" t="s">
        <v>541</v>
      </c>
    </row>
    <row r="571" spans="1:2" x14ac:dyDescent="0.3">
      <c r="A571" s="7" t="str">
        <f>HYPERLINK("http://www.eatonpowersource.com/products/configure/screw-in%20cartridge%20valves/details/02-112722","02-112722")</f>
        <v>02-112722</v>
      </c>
      <c r="B571" s="8" t="s">
        <v>542</v>
      </c>
    </row>
    <row r="572" spans="1:2" x14ac:dyDescent="0.3">
      <c r="A572" s="5" t="str">
        <f>HYPERLINK("http://www.eatonpowersource.com/products/configure/screw-in%20cartridge%20valves/details/02-112762","02-112762")</f>
        <v>02-112762</v>
      </c>
      <c r="B572" s="6" t="s">
        <v>543</v>
      </c>
    </row>
    <row r="573" spans="1:2" x14ac:dyDescent="0.3">
      <c r="A573" s="7" t="str">
        <f>HYPERLINK("http://www.eatonpowersource.com/products/configure/screw-in%20cartridge%20valves/details/02-112828","02-112828")</f>
        <v>02-112828</v>
      </c>
      <c r="B573" s="8" t="s">
        <v>544</v>
      </c>
    </row>
    <row r="574" spans="1:2" x14ac:dyDescent="0.3">
      <c r="A574" s="5" t="str">
        <f>HYPERLINK("http://www.eatonpowersource.com/products/configure/screw-in%20cartridge%20valves/details/02-112870","02-112870")</f>
        <v>02-112870</v>
      </c>
      <c r="B574" s="6" t="s">
        <v>545</v>
      </c>
    </row>
    <row r="575" spans="1:2" x14ac:dyDescent="0.3">
      <c r="A575" s="7" t="str">
        <f>HYPERLINK("http://www.eatonpowersource.com/products/configure/screw-in%20cartridge%20valves/details/02-112895","02-112895")</f>
        <v>02-112895</v>
      </c>
      <c r="B575" s="8" t="s">
        <v>546</v>
      </c>
    </row>
    <row r="576" spans="1:2" x14ac:dyDescent="0.3">
      <c r="A576" s="5" t="str">
        <f>HYPERLINK("http://www.eatonpowersource.com/products/configure/screw-in%20cartridge%20valves/details/02-112896","02-112896")</f>
        <v>02-112896</v>
      </c>
      <c r="B576" s="6" t="s">
        <v>547</v>
      </c>
    </row>
    <row r="577" spans="1:2" x14ac:dyDescent="0.3">
      <c r="A577" s="7" t="str">
        <f>HYPERLINK("http://www.eatonpowersource.com/products/configure/screw-in%20cartridge%20valves/details/02-113064","02-113064")</f>
        <v>02-113064</v>
      </c>
      <c r="B577" s="8" t="s">
        <v>548</v>
      </c>
    </row>
    <row r="578" spans="1:2" x14ac:dyDescent="0.3">
      <c r="A578" s="5" t="str">
        <f>HYPERLINK("http://www.eatonpowersource.com/products/configure/screw-in%20cartridge%20valves/details/02-113069","02-113069")</f>
        <v>02-113069</v>
      </c>
      <c r="B578" s="6" t="s">
        <v>549</v>
      </c>
    </row>
    <row r="579" spans="1:2" x14ac:dyDescent="0.3">
      <c r="A579" s="7" t="str">
        <f>HYPERLINK("http://www.eatonpowersource.com/products/configure/screw-in%20cartridge%20valves/details/02-113164","02-113164")</f>
        <v>02-113164</v>
      </c>
      <c r="B579" s="8" t="s">
        <v>550</v>
      </c>
    </row>
    <row r="580" spans="1:2" x14ac:dyDescent="0.3">
      <c r="A580" s="5" t="str">
        <f>HYPERLINK("http://www.eatonpowersource.com/products/configure/screw-in%20cartridge%20valves/details/02-151001","02-151001")</f>
        <v>02-151001</v>
      </c>
      <c r="B580" s="6" t="s">
        <v>551</v>
      </c>
    </row>
    <row r="581" spans="1:2" x14ac:dyDescent="0.3">
      <c r="A581" s="7" t="str">
        <f>HYPERLINK("http://www.eatonpowersource.com/products/configure/screw-in%20cartridge%20valves/details/02-153226","02-153226")</f>
        <v>02-153226</v>
      </c>
      <c r="B581" s="8" t="s">
        <v>552</v>
      </c>
    </row>
    <row r="582" spans="1:2" x14ac:dyDescent="0.3">
      <c r="A582" s="5" t="str">
        <f>HYPERLINK("http://www.eatonpowersource.com/products/configure/screw-in%20cartridge%20valves/details/02-153231","02-153231")</f>
        <v>02-153231</v>
      </c>
      <c r="B582" s="6" t="s">
        <v>553</v>
      </c>
    </row>
    <row r="583" spans="1:2" x14ac:dyDescent="0.3">
      <c r="A583" s="7" t="str">
        <f>HYPERLINK("http://www.eatonpowersource.com/products/configure/screw-in%20cartridge%20valves/details/02-153302","02-153302")</f>
        <v>02-153302</v>
      </c>
      <c r="B583" s="8" t="s">
        <v>554</v>
      </c>
    </row>
    <row r="584" spans="1:2" x14ac:dyDescent="0.3">
      <c r="A584" s="5" t="str">
        <f>HYPERLINK("http://www.eatonpowersource.com/products/configure/screw-in%20cartridge%20valves/details/02-160655","02-160655")</f>
        <v>02-160655</v>
      </c>
      <c r="B584" s="6" t="s">
        <v>555</v>
      </c>
    </row>
    <row r="585" spans="1:2" x14ac:dyDescent="0.3">
      <c r="A585" s="7" t="str">
        <f>HYPERLINK("http://www.eatonpowersource.com/products/configure/screw-in%20cartridge%20valves/details/02-160662","02-160662")</f>
        <v>02-160662</v>
      </c>
      <c r="B585" s="8" t="s">
        <v>556</v>
      </c>
    </row>
    <row r="586" spans="1:2" x14ac:dyDescent="0.3">
      <c r="A586" s="5" t="str">
        <f>HYPERLINK("http://www.eatonpowersource.com/products/configure/screw-in%20cartridge%20valves/details/02-161081","02-161081")</f>
        <v>02-161081</v>
      </c>
      <c r="B586" s="6" t="s">
        <v>557</v>
      </c>
    </row>
    <row r="587" spans="1:2" x14ac:dyDescent="0.3">
      <c r="A587" s="7" t="str">
        <f>HYPERLINK("http://www.eatonpowersource.com/products/configure/screw-in%20cartridge%20valves/details/02-163842","02-163842")</f>
        <v>02-163842</v>
      </c>
      <c r="B587" s="8" t="s">
        <v>558</v>
      </c>
    </row>
    <row r="588" spans="1:2" x14ac:dyDescent="0.3">
      <c r="A588" s="5" t="str">
        <f>HYPERLINK("http://www.eatonpowersource.com/products/configure/screw-in%20cartridge%20valves/details/02-163868","02-163868")</f>
        <v>02-163868</v>
      </c>
      <c r="B588" s="6" t="s">
        <v>559</v>
      </c>
    </row>
    <row r="589" spans="1:2" x14ac:dyDescent="0.3">
      <c r="A589" s="7" t="str">
        <f>HYPERLINK("http://www.eatonpowersource.com/products/configure/screw-in%20cartridge%20valves/details/02-163912","02-163912")</f>
        <v>02-163912</v>
      </c>
      <c r="B589" s="8" t="s">
        <v>560</v>
      </c>
    </row>
    <row r="590" spans="1:2" x14ac:dyDescent="0.3">
      <c r="A590" s="5" t="str">
        <f>HYPERLINK("http://www.eatonpowersource.com/products/configure/screw-in%20cartridge%20valves/details/02-163926","02-163926")</f>
        <v>02-163926</v>
      </c>
      <c r="B590" s="6" t="s">
        <v>561</v>
      </c>
    </row>
    <row r="591" spans="1:2" x14ac:dyDescent="0.3">
      <c r="A591" s="7" t="str">
        <f>HYPERLINK("http://www.eatonpowersource.com/products/configure/screw-in%20cartridge%20valves/details/02-163964","02-163964")</f>
        <v>02-163964</v>
      </c>
      <c r="B591" s="8" t="s">
        <v>562</v>
      </c>
    </row>
    <row r="592" spans="1:2" x14ac:dyDescent="0.3">
      <c r="A592" s="5" t="str">
        <f>HYPERLINK("http://www.eatonpowersource.com/products/configure/screw-in%20cartridge%20valves/details/02-163967","02-163967")</f>
        <v>02-163967</v>
      </c>
      <c r="B592" s="6" t="s">
        <v>563</v>
      </c>
    </row>
    <row r="593" spans="1:2" x14ac:dyDescent="0.3">
      <c r="A593" s="7" t="str">
        <f>HYPERLINK("http://www.eatonpowersource.com/products/configure/screw-in%20cartridge%20valves/details/02-163980","02-163980")</f>
        <v>02-163980</v>
      </c>
      <c r="B593" s="8" t="s">
        <v>564</v>
      </c>
    </row>
    <row r="594" spans="1:2" x14ac:dyDescent="0.3">
      <c r="A594" s="5" t="str">
        <f>HYPERLINK("http://www.eatonpowersource.com/products/configure/screw-in%20cartridge%20valves/details/02-164007","02-164007")</f>
        <v>02-164007</v>
      </c>
      <c r="B594" s="6" t="s">
        <v>565</v>
      </c>
    </row>
    <row r="595" spans="1:2" x14ac:dyDescent="0.3">
      <c r="A595" s="7" t="str">
        <f>HYPERLINK("http://www.eatonpowersource.com/products/configure/screw-in%20cartridge%20valves/details/02-164028","02-164028")</f>
        <v>02-164028</v>
      </c>
      <c r="B595" s="8" t="s">
        <v>566</v>
      </c>
    </row>
    <row r="596" spans="1:2" x14ac:dyDescent="0.3">
      <c r="A596" s="5" t="str">
        <f>HYPERLINK("http://www.eatonpowersource.com/products/configure/screw-in%20cartridge%20valves/details/02-164032","02-164032")</f>
        <v>02-164032</v>
      </c>
      <c r="B596" s="6" t="s">
        <v>567</v>
      </c>
    </row>
    <row r="597" spans="1:2" x14ac:dyDescent="0.3">
      <c r="A597" s="7" t="str">
        <f>HYPERLINK("http://www.eatonpowersource.com/products/configure/screw-in%20cartridge%20valves/details/02-164140","02-164140")</f>
        <v>02-164140</v>
      </c>
      <c r="B597" s="8" t="s">
        <v>568</v>
      </c>
    </row>
    <row r="598" spans="1:2" x14ac:dyDescent="0.3">
      <c r="A598" s="5" t="str">
        <f>HYPERLINK("http://www.eatonpowersource.com/products/configure/screw-in%20cartridge%20valves/details/02-164146","02-164146")</f>
        <v>02-164146</v>
      </c>
      <c r="B598" s="6" t="s">
        <v>569</v>
      </c>
    </row>
    <row r="599" spans="1:2" x14ac:dyDescent="0.3">
      <c r="A599" s="7" t="str">
        <f>HYPERLINK("http://www.eatonpowersource.com/products/configure/screw-in%20cartridge%20valves/details/02-164156","02-164156")</f>
        <v>02-164156</v>
      </c>
      <c r="B599" s="8" t="s">
        <v>570</v>
      </c>
    </row>
    <row r="600" spans="1:2" x14ac:dyDescent="0.3">
      <c r="A600" s="5" t="str">
        <f>HYPERLINK("http://www.eatonpowersource.com/products/configure/screw-in%20cartridge%20valves/details/02-164181","02-164181")</f>
        <v>02-164181</v>
      </c>
      <c r="B600" s="6" t="s">
        <v>571</v>
      </c>
    </row>
    <row r="601" spans="1:2" x14ac:dyDescent="0.3">
      <c r="A601" s="7" t="str">
        <f>HYPERLINK("http://www.eatonpowersource.com/products/configure/screw-in%20cartridge%20valves/details/02-164182","02-164182")</f>
        <v>02-164182</v>
      </c>
      <c r="B601" s="8" t="s">
        <v>572</v>
      </c>
    </row>
    <row r="602" spans="1:2" x14ac:dyDescent="0.3">
      <c r="A602" s="5" t="str">
        <f>HYPERLINK("http://www.eatonpowersource.com/products/configure/screw-in%20cartridge%20valves/details/02-164198","02-164198")</f>
        <v>02-164198</v>
      </c>
      <c r="B602" s="6" t="s">
        <v>573</v>
      </c>
    </row>
    <row r="603" spans="1:2" x14ac:dyDescent="0.3">
      <c r="A603" s="7" t="str">
        <f>HYPERLINK("http://www.eatonpowersource.com/products/configure/screw-in%20cartridge%20valves/details/02-164222","02-164222")</f>
        <v>02-164222</v>
      </c>
      <c r="B603" s="8" t="s">
        <v>574</v>
      </c>
    </row>
    <row r="604" spans="1:2" x14ac:dyDescent="0.3">
      <c r="A604" s="5" t="str">
        <f>HYPERLINK("http://www.eatonpowersource.com/products/configure/screw-in%20cartridge%20valves/details/02-164229","02-164229")</f>
        <v>02-164229</v>
      </c>
      <c r="B604" s="6" t="s">
        <v>575</v>
      </c>
    </row>
    <row r="605" spans="1:2" x14ac:dyDescent="0.3">
      <c r="A605" s="7" t="str">
        <f>HYPERLINK("http://www.eatonpowersource.com/products/configure/screw-in%20cartridge%20valves/details/02-164253","02-164253")</f>
        <v>02-164253</v>
      </c>
      <c r="B605" s="8" t="s">
        <v>576</v>
      </c>
    </row>
    <row r="606" spans="1:2" x14ac:dyDescent="0.3">
      <c r="A606" s="5" t="str">
        <f>HYPERLINK("http://www.eatonpowersource.com/products/configure/screw-in%20cartridge%20valves/details/02-164261","02-164261")</f>
        <v>02-164261</v>
      </c>
      <c r="B606" s="6" t="s">
        <v>577</v>
      </c>
    </row>
    <row r="607" spans="1:2" x14ac:dyDescent="0.3">
      <c r="A607" s="7" t="str">
        <f>HYPERLINK("http://www.eatonpowersource.com/products/configure/screw-in%20cartridge%20valves/details/02-164273","02-164273")</f>
        <v>02-164273</v>
      </c>
      <c r="B607" s="8" t="s">
        <v>578</v>
      </c>
    </row>
    <row r="608" spans="1:2" x14ac:dyDescent="0.3">
      <c r="A608" s="5" t="str">
        <f>HYPERLINK("http://www.eatonpowersource.com/products/configure/screw-in%20cartridge%20valves/details/02-164284","02-164284")</f>
        <v>02-164284</v>
      </c>
      <c r="B608" s="6" t="s">
        <v>579</v>
      </c>
    </row>
    <row r="609" spans="1:2" x14ac:dyDescent="0.3">
      <c r="A609" s="7" t="str">
        <f>HYPERLINK("http://www.eatonpowersource.com/products/configure/screw-in%20cartridge%20valves/details/02-164294","02-164294")</f>
        <v>02-164294</v>
      </c>
      <c r="B609" s="8" t="s">
        <v>580</v>
      </c>
    </row>
    <row r="610" spans="1:2" x14ac:dyDescent="0.3">
      <c r="A610" s="5" t="str">
        <f>HYPERLINK("http://www.eatonpowersource.com/products/configure/screw-in%20cartridge%20valves/details/02-164296","02-164296")</f>
        <v>02-164296</v>
      </c>
      <c r="B610" s="6" t="s">
        <v>581</v>
      </c>
    </row>
    <row r="611" spans="1:2" x14ac:dyDescent="0.3">
      <c r="A611" s="7" t="str">
        <f>HYPERLINK("http://www.eatonpowersource.com/products/configure/screw-in%20cartridge%20valves/details/02-164301","02-164301")</f>
        <v>02-164301</v>
      </c>
      <c r="B611" s="8" t="s">
        <v>582</v>
      </c>
    </row>
    <row r="612" spans="1:2" x14ac:dyDescent="0.3">
      <c r="A612" s="5" t="str">
        <f>HYPERLINK("http://www.eatonpowersource.com/products/configure/screw-in%20cartridge%20valves/details/02-164304","02-164304")</f>
        <v>02-164304</v>
      </c>
      <c r="B612" s="6" t="s">
        <v>583</v>
      </c>
    </row>
    <row r="613" spans="1:2" x14ac:dyDescent="0.3">
      <c r="A613" s="7" t="str">
        <f>HYPERLINK("http://www.eatonpowersource.com/products/configure/screw-in%20cartridge%20valves/details/02-164344","02-164344")</f>
        <v>02-164344</v>
      </c>
      <c r="B613" s="8" t="s">
        <v>584</v>
      </c>
    </row>
    <row r="614" spans="1:2" x14ac:dyDescent="0.3">
      <c r="A614" s="5" t="str">
        <f>HYPERLINK("http://www.eatonpowersource.com/products/configure/screw-in%20cartridge%20valves/details/02-164347","02-164347")</f>
        <v>02-164347</v>
      </c>
      <c r="B614" s="6" t="s">
        <v>585</v>
      </c>
    </row>
    <row r="615" spans="1:2" x14ac:dyDescent="0.3">
      <c r="A615" s="7" t="str">
        <f>HYPERLINK("http://www.eatonpowersource.com/products/configure/screw-in%20cartridge%20valves/details/02-164367","02-164367")</f>
        <v>02-164367</v>
      </c>
      <c r="B615" s="8" t="s">
        <v>586</v>
      </c>
    </row>
    <row r="616" spans="1:2" x14ac:dyDescent="0.3">
      <c r="A616" s="5" t="str">
        <f>HYPERLINK("http://www.eatonpowersource.com/products/configure/screw-in%20cartridge%20valves/details/02-164379","02-164379")</f>
        <v>02-164379</v>
      </c>
      <c r="B616" s="6" t="s">
        <v>587</v>
      </c>
    </row>
    <row r="617" spans="1:2" x14ac:dyDescent="0.3">
      <c r="A617" s="7" t="str">
        <f>HYPERLINK("http://www.eatonpowersource.com/products/configure/screw-in%20cartridge%20valves/details/02-164385","02-164385")</f>
        <v>02-164385</v>
      </c>
      <c r="B617" s="8" t="s">
        <v>588</v>
      </c>
    </row>
    <row r="618" spans="1:2" x14ac:dyDescent="0.3">
      <c r="A618" s="5" t="str">
        <f>HYPERLINK("http://www.eatonpowersource.com/products/configure/screw-in%20cartridge%20valves/details/02-164400","02-164400")</f>
        <v>02-164400</v>
      </c>
      <c r="B618" s="6" t="s">
        <v>589</v>
      </c>
    </row>
    <row r="619" spans="1:2" x14ac:dyDescent="0.3">
      <c r="A619" s="7" t="str">
        <f>HYPERLINK("http://www.eatonpowersource.com/products/configure/screw-in%20cartridge%20valves/details/02-164426","02-164426")</f>
        <v>02-164426</v>
      </c>
      <c r="B619" s="8" t="s">
        <v>590</v>
      </c>
    </row>
    <row r="620" spans="1:2" x14ac:dyDescent="0.3">
      <c r="A620" s="5" t="str">
        <f>HYPERLINK("http://www.eatonpowersource.com/products/configure/screw-in%20cartridge%20valves/details/02-164443","02-164443")</f>
        <v>02-164443</v>
      </c>
      <c r="B620" s="6" t="s">
        <v>591</v>
      </c>
    </row>
    <row r="621" spans="1:2" x14ac:dyDescent="0.3">
      <c r="A621" s="7" t="str">
        <f>HYPERLINK("http://www.eatonpowersource.com/products/configure/screw-in%20cartridge%20valves/details/02-164455","02-164455")</f>
        <v>02-164455</v>
      </c>
      <c r="B621" s="8" t="s">
        <v>592</v>
      </c>
    </row>
    <row r="622" spans="1:2" x14ac:dyDescent="0.3">
      <c r="A622" s="5" t="str">
        <f>HYPERLINK("http://www.eatonpowersource.com/products/configure/screw-in%20cartridge%20valves/details/02-164469","02-164469")</f>
        <v>02-164469</v>
      </c>
      <c r="B622" s="6" t="s">
        <v>593</v>
      </c>
    </row>
    <row r="623" spans="1:2" x14ac:dyDescent="0.3">
      <c r="A623" s="7" t="str">
        <f>HYPERLINK("http://www.eatonpowersource.com/products/configure/screw-in%20cartridge%20valves/details/02-164490","02-164490")</f>
        <v>02-164490</v>
      </c>
      <c r="B623" s="8" t="s">
        <v>594</v>
      </c>
    </row>
    <row r="624" spans="1:2" x14ac:dyDescent="0.3">
      <c r="A624" s="5" t="str">
        <f>HYPERLINK("http://www.eatonpowersource.com/products/configure/screw-in%20cartridge%20valves/details/02-164507","02-164507")</f>
        <v>02-164507</v>
      </c>
      <c r="B624" s="6" t="s">
        <v>595</v>
      </c>
    </row>
    <row r="625" spans="1:2" x14ac:dyDescent="0.3">
      <c r="A625" s="7" t="str">
        <f>HYPERLINK("http://www.eatonpowersource.com/products/configure/screw-in%20cartridge%20valves/details/02-164508","02-164508")</f>
        <v>02-164508</v>
      </c>
      <c r="B625" s="8" t="s">
        <v>596</v>
      </c>
    </row>
    <row r="626" spans="1:2" x14ac:dyDescent="0.3">
      <c r="A626" s="5" t="str">
        <f>HYPERLINK("http://www.eatonpowersource.com/products/configure/screw-in%20cartridge%20valves/details/02-164521","02-164521")</f>
        <v>02-164521</v>
      </c>
      <c r="B626" s="6" t="s">
        <v>597</v>
      </c>
    </row>
    <row r="627" spans="1:2" x14ac:dyDescent="0.3">
      <c r="A627" s="7" t="str">
        <f>HYPERLINK("http://www.eatonpowersource.com/products/configure/screw-in%20cartridge%20valves/details/02-164526","02-164526")</f>
        <v>02-164526</v>
      </c>
      <c r="B627" s="8" t="s">
        <v>598</v>
      </c>
    </row>
    <row r="628" spans="1:2" x14ac:dyDescent="0.3">
      <c r="A628" s="5" t="str">
        <f>HYPERLINK("http://www.eatonpowersource.com/products/configure/screw-in%20cartridge%20valves/details/02-164558","02-164558")</f>
        <v>02-164558</v>
      </c>
      <c r="B628" s="6" t="s">
        <v>599</v>
      </c>
    </row>
    <row r="629" spans="1:2" x14ac:dyDescent="0.3">
      <c r="A629" s="7" t="str">
        <f>HYPERLINK("http://www.eatonpowersource.com/products/configure/screw-in%20cartridge%20valves/details/02-164563","02-164563")</f>
        <v>02-164563</v>
      </c>
      <c r="B629" s="8" t="s">
        <v>600</v>
      </c>
    </row>
    <row r="630" spans="1:2" x14ac:dyDescent="0.3">
      <c r="A630" s="5" t="str">
        <f>HYPERLINK("http://www.eatonpowersource.com/products/configure/screw-in%20cartridge%20valves/details/02-164700","02-164700")</f>
        <v>02-164700</v>
      </c>
      <c r="B630" s="6" t="s">
        <v>601</v>
      </c>
    </row>
    <row r="631" spans="1:2" x14ac:dyDescent="0.3">
      <c r="A631" s="7" t="str">
        <f>HYPERLINK("http://www.eatonpowersource.com/products/configure/screw-in%20cartridge%20valves/details/02-164703","02-164703")</f>
        <v>02-164703</v>
      </c>
      <c r="B631" s="8" t="s">
        <v>602</v>
      </c>
    </row>
    <row r="632" spans="1:2" x14ac:dyDescent="0.3">
      <c r="A632" s="5" t="str">
        <f>HYPERLINK("http://www.eatonpowersource.com/products/configure/screw-in%20cartridge%20valves/details/02-164709","02-164709")</f>
        <v>02-164709</v>
      </c>
      <c r="B632" s="6" t="s">
        <v>603</v>
      </c>
    </row>
    <row r="633" spans="1:2" x14ac:dyDescent="0.3">
      <c r="A633" s="7" t="str">
        <f>HYPERLINK("http://www.eatonpowersource.com/products/configure/screw-in%20cartridge%20valves/details/02-164715","02-164715")</f>
        <v>02-164715</v>
      </c>
      <c r="B633" s="8" t="s">
        <v>604</v>
      </c>
    </row>
    <row r="634" spans="1:2" x14ac:dyDescent="0.3">
      <c r="A634" s="5" t="str">
        <f>HYPERLINK("http://www.eatonpowersource.com/products/configure/screw-in%20cartridge%20valves/details/02-164742","02-164742")</f>
        <v>02-164742</v>
      </c>
      <c r="B634" s="6" t="s">
        <v>605</v>
      </c>
    </row>
    <row r="635" spans="1:2" x14ac:dyDescent="0.3">
      <c r="A635" s="7" t="str">
        <f>HYPERLINK("http://www.eatonpowersource.com/products/configure/screw-in%20cartridge%20valves/details/02-164763","02-164763")</f>
        <v>02-164763</v>
      </c>
      <c r="B635" s="8" t="s">
        <v>606</v>
      </c>
    </row>
    <row r="636" spans="1:2" x14ac:dyDescent="0.3">
      <c r="A636" s="5" t="str">
        <f>HYPERLINK("http://www.eatonpowersource.com/products/configure/screw-in%20cartridge%20valves/details/02-164791","02-164791")</f>
        <v>02-164791</v>
      </c>
      <c r="B636" s="6" t="s">
        <v>607</v>
      </c>
    </row>
    <row r="637" spans="1:2" x14ac:dyDescent="0.3">
      <c r="A637" s="7" t="str">
        <f>HYPERLINK("http://www.eatonpowersource.com/products/configure/screw-in%20cartridge%20valves/details/02-164847","02-164847")</f>
        <v>02-164847</v>
      </c>
      <c r="B637" s="8" t="s">
        <v>608</v>
      </c>
    </row>
    <row r="638" spans="1:2" x14ac:dyDescent="0.3">
      <c r="A638" s="5" t="str">
        <f>HYPERLINK("http://www.eatonpowersource.com/products/configure/screw-in%20cartridge%20valves/details/02-164864","02-164864")</f>
        <v>02-164864</v>
      </c>
      <c r="B638" s="6" t="s">
        <v>609</v>
      </c>
    </row>
    <row r="639" spans="1:2" x14ac:dyDescent="0.3">
      <c r="A639" s="7" t="str">
        <f>HYPERLINK("http://www.eatonpowersource.com/products/configure/screw-in%20cartridge%20valves/details/02-164865","02-164865")</f>
        <v>02-164865</v>
      </c>
      <c r="B639" s="8" t="s">
        <v>610</v>
      </c>
    </row>
    <row r="640" spans="1:2" x14ac:dyDescent="0.3">
      <c r="A640" s="5" t="str">
        <f>HYPERLINK("http://www.eatonpowersource.com/products/configure/screw-in%20cartridge%20valves/details/02-164866","02-164866")</f>
        <v>02-164866</v>
      </c>
      <c r="B640" s="6" t="s">
        <v>611</v>
      </c>
    </row>
    <row r="641" spans="1:2" x14ac:dyDescent="0.3">
      <c r="A641" s="7" t="str">
        <f>HYPERLINK("http://www.eatonpowersource.com/products/configure/screw-in%20cartridge%20valves/details/02-164870","02-164870")</f>
        <v>02-164870</v>
      </c>
      <c r="B641" s="8" t="s">
        <v>612</v>
      </c>
    </row>
    <row r="642" spans="1:2" x14ac:dyDescent="0.3">
      <c r="A642" s="5" t="str">
        <f>HYPERLINK("http://www.eatonpowersource.com/products/configure/screw-in%20cartridge%20valves/details/02-164876","02-164876")</f>
        <v>02-164876</v>
      </c>
      <c r="B642" s="6" t="s">
        <v>613</v>
      </c>
    </row>
    <row r="643" spans="1:2" x14ac:dyDescent="0.3">
      <c r="A643" s="7" t="str">
        <f>HYPERLINK("http://www.eatonpowersource.com/products/configure/screw-in%20cartridge%20valves/details/02-164877","02-164877")</f>
        <v>02-164877</v>
      </c>
      <c r="B643" s="8" t="s">
        <v>614</v>
      </c>
    </row>
    <row r="644" spans="1:2" x14ac:dyDescent="0.3">
      <c r="A644" s="5" t="str">
        <f>HYPERLINK("http://www.eatonpowersource.com/products/configure/screw-in%20cartridge%20valves/details/02-164911","02-164911")</f>
        <v>02-164911</v>
      </c>
      <c r="B644" s="6" t="s">
        <v>615</v>
      </c>
    </row>
    <row r="645" spans="1:2" x14ac:dyDescent="0.3">
      <c r="A645" s="7" t="str">
        <f>HYPERLINK("http://www.eatonpowersource.com/products/configure/screw-in%20cartridge%20valves/details/02-166214","02-166214")</f>
        <v>02-166214</v>
      </c>
      <c r="B645" s="8" t="s">
        <v>616</v>
      </c>
    </row>
    <row r="646" spans="1:2" x14ac:dyDescent="0.3">
      <c r="A646" s="5" t="str">
        <f>HYPERLINK("http://www.eatonpowersource.com/products/configure/screw-in%20cartridge%20valves/details/02-171006","02-171006")</f>
        <v>02-171006</v>
      </c>
      <c r="B646" s="6" t="s">
        <v>617</v>
      </c>
    </row>
    <row r="647" spans="1:2" x14ac:dyDescent="0.3">
      <c r="A647" s="7" t="str">
        <f>HYPERLINK("http://www.eatonpowersource.com/products/configure/screw-in%20cartridge%20valves/details/02-171106","02-171106")</f>
        <v>02-171106</v>
      </c>
      <c r="B647" s="8" t="s">
        <v>618</v>
      </c>
    </row>
    <row r="648" spans="1:2" x14ac:dyDescent="0.3">
      <c r="A648" s="5" t="str">
        <f>HYPERLINK("http://www.eatonpowersource.com/products/configure/screw-in%20cartridge%20valves/details/02-171107","02-171107")</f>
        <v>02-171107</v>
      </c>
      <c r="B648" s="6" t="s">
        <v>619</v>
      </c>
    </row>
    <row r="649" spans="1:2" x14ac:dyDescent="0.3">
      <c r="A649" s="7" t="str">
        <f>HYPERLINK("http://www.eatonpowersource.com/products/configure/screw-in%20cartridge%20valves/details/02-171272","02-171272")</f>
        <v>02-171272</v>
      </c>
      <c r="B649" s="8" t="s">
        <v>620</v>
      </c>
    </row>
    <row r="650" spans="1:2" x14ac:dyDescent="0.3">
      <c r="A650" s="5" t="str">
        <f>HYPERLINK("http://www.eatonpowersource.com/products/configure/screw-in%20cartridge%20valves/details/02-171356","02-171356")</f>
        <v>02-171356</v>
      </c>
      <c r="B650" s="6" t="s">
        <v>621</v>
      </c>
    </row>
    <row r="651" spans="1:2" x14ac:dyDescent="0.3">
      <c r="A651" s="7" t="str">
        <f>HYPERLINK("http://www.eatonpowersource.com/products/configure/screw-in%20cartridge%20valves/details/02-171368","02-171368")</f>
        <v>02-171368</v>
      </c>
      <c r="B651" s="8" t="s">
        <v>622</v>
      </c>
    </row>
    <row r="652" spans="1:2" x14ac:dyDescent="0.3">
      <c r="A652" s="5" t="str">
        <f>HYPERLINK("http://www.eatonpowersource.com/products/configure/screw-in%20cartridge%20valves/details/02-172261","02-172261")</f>
        <v>02-172261</v>
      </c>
      <c r="B652" s="6" t="s">
        <v>623</v>
      </c>
    </row>
    <row r="653" spans="1:2" x14ac:dyDescent="0.3">
      <c r="A653" s="7" t="str">
        <f>HYPERLINK("http://www.eatonpowersource.com/products/configure/screw-in%20cartridge%20valves/details/02-172382","02-172382")</f>
        <v>02-172382</v>
      </c>
      <c r="B653" s="8" t="s">
        <v>624</v>
      </c>
    </row>
    <row r="654" spans="1:2" x14ac:dyDescent="0.3">
      <c r="A654" s="5" t="str">
        <f>HYPERLINK("http://www.eatonpowersource.com/products/configure/screw-in%20cartridge%20valves/details/02-172844","02-172844")</f>
        <v>02-172844</v>
      </c>
      <c r="B654" s="6" t="s">
        <v>625</v>
      </c>
    </row>
    <row r="655" spans="1:2" x14ac:dyDescent="0.3">
      <c r="A655" s="7" t="str">
        <f>HYPERLINK("http://www.eatonpowersource.com/products/configure/screw-in%20cartridge%20valves/details/02-173076","02-173076")</f>
        <v>02-173076</v>
      </c>
      <c r="B655" s="8" t="s">
        <v>626</v>
      </c>
    </row>
    <row r="656" spans="1:2" x14ac:dyDescent="0.3">
      <c r="A656" s="5" t="str">
        <f>HYPERLINK("http://www.eatonpowersource.com/products/configure/screw-in%20cartridge%20valves/details/02-173231","02-173231")</f>
        <v>02-173231</v>
      </c>
      <c r="B656" s="6" t="s">
        <v>627</v>
      </c>
    </row>
    <row r="657" spans="1:2" x14ac:dyDescent="0.3">
      <c r="A657" s="7" t="str">
        <f>HYPERLINK("http://www.eatonpowersource.com/products/configure/screw-in%20cartridge%20valves/details/02-173236","02-173236")</f>
        <v>02-173236</v>
      </c>
      <c r="B657" s="8" t="s">
        <v>628</v>
      </c>
    </row>
    <row r="658" spans="1:2" x14ac:dyDescent="0.3">
      <c r="A658" s="5" t="str">
        <f>HYPERLINK("http://www.eatonpowersource.com/products/configure/screw-in%20cartridge%20valves/details/02-173238","02-173238")</f>
        <v>02-173238</v>
      </c>
      <c r="B658" s="6" t="s">
        <v>629</v>
      </c>
    </row>
    <row r="659" spans="1:2" x14ac:dyDescent="0.3">
      <c r="A659" s="7" t="str">
        <f>HYPERLINK("http://www.eatonpowersource.com/products/configure/screw-in%20cartridge%20valves/details/02-173246","02-173246")</f>
        <v>02-173246</v>
      </c>
      <c r="B659" s="8" t="s">
        <v>630</v>
      </c>
    </row>
    <row r="660" spans="1:2" x14ac:dyDescent="0.3">
      <c r="A660" s="5" t="str">
        <f>HYPERLINK("http://www.eatonpowersource.com/products/configure/screw-in%20cartridge%20valves/details/02-174782","02-174782")</f>
        <v>02-174782</v>
      </c>
      <c r="B660" s="6" t="s">
        <v>631</v>
      </c>
    </row>
    <row r="661" spans="1:2" x14ac:dyDescent="0.3">
      <c r="A661" s="7" t="str">
        <f>HYPERLINK("http://www.eatonpowersource.com/products/configure/screw-in%20cartridge%20valves/details/02-174808","02-174808")</f>
        <v>02-174808</v>
      </c>
      <c r="B661" s="8" t="s">
        <v>632</v>
      </c>
    </row>
    <row r="662" spans="1:2" x14ac:dyDescent="0.3">
      <c r="A662" s="5" t="str">
        <f>HYPERLINK("http://www.eatonpowersource.com/products/configure/screw-in%20cartridge%20valves/details/02-175413","02-175413")</f>
        <v>02-175413</v>
      </c>
      <c r="B662" s="6" t="s">
        <v>633</v>
      </c>
    </row>
    <row r="663" spans="1:2" x14ac:dyDescent="0.3">
      <c r="A663" s="7" t="str">
        <f>HYPERLINK("http://www.eatonpowersource.com/products/configure/screw-in%20cartridge%20valves/details/02-175543","02-175543")</f>
        <v>02-175543</v>
      </c>
      <c r="B663" s="8" t="s">
        <v>634</v>
      </c>
    </row>
    <row r="664" spans="1:2" x14ac:dyDescent="0.3">
      <c r="A664" s="5" t="str">
        <f>HYPERLINK("http://www.eatonpowersource.com/products/configure/screw-in%20cartridge%20valves/details/02-175904","02-175904")</f>
        <v>02-175904</v>
      </c>
      <c r="B664" s="6" t="s">
        <v>635</v>
      </c>
    </row>
    <row r="665" spans="1:2" x14ac:dyDescent="0.3">
      <c r="A665" s="7" t="str">
        <f>HYPERLINK("http://www.eatonpowersource.com/products/configure/screw-in%20cartridge%20valves/details/02-176008","02-176008")</f>
        <v>02-176008</v>
      </c>
      <c r="B665" s="8" t="s">
        <v>636</v>
      </c>
    </row>
    <row r="666" spans="1:2" x14ac:dyDescent="0.3">
      <c r="A666" s="5" t="str">
        <f>HYPERLINK("http://www.eatonpowersource.com/products/configure/screw-in%20cartridge%20valves/details/02-176020","02-176020")</f>
        <v>02-176020</v>
      </c>
      <c r="B666" s="6" t="s">
        <v>637</v>
      </c>
    </row>
    <row r="667" spans="1:2" x14ac:dyDescent="0.3">
      <c r="A667" s="7" t="str">
        <f>HYPERLINK("http://www.eatonpowersource.com/products/configure/screw-in%20cartridge%20valves/details/02-176072","02-176072")</f>
        <v>02-176072</v>
      </c>
      <c r="B667" s="8" t="s">
        <v>638</v>
      </c>
    </row>
    <row r="668" spans="1:2" x14ac:dyDescent="0.3">
      <c r="A668" s="5" t="str">
        <f>HYPERLINK("http://www.eatonpowersource.com/products/configure/screw-in%20cartridge%20valves/details/02-176127","02-176127")</f>
        <v>02-176127</v>
      </c>
      <c r="B668" s="6" t="s">
        <v>639</v>
      </c>
    </row>
    <row r="669" spans="1:2" x14ac:dyDescent="0.3">
      <c r="A669" s="7" t="str">
        <f>HYPERLINK("http://www.eatonpowersource.com/products/configure/screw-in%20cartridge%20valves/details/02-176520","02-176520")</f>
        <v>02-176520</v>
      </c>
      <c r="B669" s="8" t="s">
        <v>640</v>
      </c>
    </row>
    <row r="670" spans="1:2" x14ac:dyDescent="0.3">
      <c r="A670" s="5" t="str">
        <f>HYPERLINK("http://www.eatonpowersource.com/products/configure/screw-in%20cartridge%20valves/details/02-176603","02-176603")</f>
        <v>02-176603</v>
      </c>
      <c r="B670" s="6" t="s">
        <v>641</v>
      </c>
    </row>
    <row r="671" spans="1:2" x14ac:dyDescent="0.3">
      <c r="A671" s="7" t="str">
        <f>HYPERLINK("http://www.eatonpowersource.com/products/configure/screw-in%20cartridge%20valves/details/02-176662","02-176662")</f>
        <v>02-176662</v>
      </c>
      <c r="B671" s="8" t="s">
        <v>642</v>
      </c>
    </row>
    <row r="672" spans="1:2" x14ac:dyDescent="0.3">
      <c r="A672" s="5" t="str">
        <f>HYPERLINK("http://www.eatonpowersource.com/products/configure/screw-in%20cartridge%20valves/details/02-176911","02-176911")</f>
        <v>02-176911</v>
      </c>
      <c r="B672" s="6" t="s">
        <v>643</v>
      </c>
    </row>
    <row r="673" spans="1:2" x14ac:dyDescent="0.3">
      <c r="A673" s="7" t="str">
        <f>HYPERLINK("http://www.eatonpowersource.com/products/configure/screw-in%20cartridge%20valves/details/02-177513","02-177513")</f>
        <v>02-177513</v>
      </c>
      <c r="B673" s="8" t="s">
        <v>644</v>
      </c>
    </row>
    <row r="674" spans="1:2" x14ac:dyDescent="0.3">
      <c r="A674" s="5" t="str">
        <f>HYPERLINK("http://www.eatonpowersource.com/products/configure/screw-in%20cartridge%20valves/details/02-177973","02-177973")</f>
        <v>02-177973</v>
      </c>
      <c r="B674" s="6" t="s">
        <v>645</v>
      </c>
    </row>
    <row r="675" spans="1:2" x14ac:dyDescent="0.3">
      <c r="A675" s="7" t="str">
        <f>HYPERLINK("http://www.eatonpowersource.com/products/configure/screw-in%20cartridge%20valves/details/02-178482","02-178482")</f>
        <v>02-178482</v>
      </c>
      <c r="B675" s="8" t="s">
        <v>646</v>
      </c>
    </row>
    <row r="676" spans="1:2" x14ac:dyDescent="0.3">
      <c r="A676" s="5" t="str">
        <f>HYPERLINK("http://www.eatonpowersource.com/products/configure/screw-in%20cartridge%20valves/details/02-180080","02-180080")</f>
        <v>02-180080</v>
      </c>
      <c r="B676" s="6" t="s">
        <v>647</v>
      </c>
    </row>
    <row r="677" spans="1:2" x14ac:dyDescent="0.3">
      <c r="A677" s="7" t="str">
        <f>HYPERLINK("http://www.eatonpowersource.com/products/configure/screw-in%20cartridge%20valves/details/02-180201","02-180201")</f>
        <v>02-180201</v>
      </c>
      <c r="B677" s="8" t="s">
        <v>648</v>
      </c>
    </row>
    <row r="678" spans="1:2" x14ac:dyDescent="0.3">
      <c r="A678" s="5" t="str">
        <f>HYPERLINK("http://www.eatonpowersource.com/products/configure/screw-in%20cartridge%20valves/details/02-180439","02-180439")</f>
        <v>02-180439</v>
      </c>
      <c r="B678" s="6" t="s">
        <v>649</v>
      </c>
    </row>
    <row r="679" spans="1:2" x14ac:dyDescent="0.3">
      <c r="A679" s="7" t="str">
        <f>HYPERLINK("http://www.eatonpowersource.com/products/configure/screw-in%20cartridge%20valves/details/02-180850","02-180850")</f>
        <v>02-180850</v>
      </c>
      <c r="B679" s="8" t="s">
        <v>650</v>
      </c>
    </row>
    <row r="680" spans="1:2" x14ac:dyDescent="0.3">
      <c r="A680" s="5" t="str">
        <f>HYPERLINK("http://www.eatonpowersource.com/products/configure/screw-in%20cartridge%20valves/details/02-181293","02-181293")</f>
        <v>02-181293</v>
      </c>
      <c r="B680" s="6" t="s">
        <v>651</v>
      </c>
    </row>
    <row r="681" spans="1:2" x14ac:dyDescent="0.3">
      <c r="A681" s="7" t="str">
        <f>HYPERLINK("http://www.eatonpowersource.com/products/configure/screw-in%20cartridge%20valves/details/02-182046","02-182046")</f>
        <v>02-182046</v>
      </c>
      <c r="B681" s="8" t="s">
        <v>652</v>
      </c>
    </row>
    <row r="682" spans="1:2" x14ac:dyDescent="0.3">
      <c r="A682" s="5" t="str">
        <f>HYPERLINK("http://www.eatonpowersource.com/products/configure/screw-in%20cartridge%20valves/details/02-182895","02-182895")</f>
        <v>02-182895</v>
      </c>
      <c r="B682" s="6" t="s">
        <v>653</v>
      </c>
    </row>
    <row r="683" spans="1:2" x14ac:dyDescent="0.3">
      <c r="A683" s="7" t="str">
        <f>HYPERLINK("http://www.eatonpowersource.com/products/configure/screw-in%20cartridge%20valves/details/02-183092","02-183092")</f>
        <v>02-183092</v>
      </c>
      <c r="B683" s="8" t="s">
        <v>654</v>
      </c>
    </row>
    <row r="684" spans="1:2" x14ac:dyDescent="0.3">
      <c r="A684" s="5" t="str">
        <f>HYPERLINK("http://www.eatonpowersource.com/products/configure/screw-in%20cartridge%20valves/details/02-183564","02-183564")</f>
        <v>02-183564</v>
      </c>
      <c r="B684" s="6" t="s">
        <v>655</v>
      </c>
    </row>
    <row r="685" spans="1:2" x14ac:dyDescent="0.3">
      <c r="A685" s="7" t="str">
        <f>HYPERLINK("http://www.eatonpowersource.com/products/configure/screw-in%20cartridge%20valves/details/02-183685","02-183685")</f>
        <v>02-183685</v>
      </c>
      <c r="B685" s="8" t="s">
        <v>656</v>
      </c>
    </row>
    <row r="686" spans="1:2" x14ac:dyDescent="0.3">
      <c r="A686" s="5" t="str">
        <f>HYPERLINK("http://www.eatonpowersource.com/products/configure/screw-in%20cartridge%20valves/details/02-184027","02-184027")</f>
        <v>02-184027</v>
      </c>
      <c r="B686" s="6" t="s">
        <v>657</v>
      </c>
    </row>
    <row r="687" spans="1:2" x14ac:dyDescent="0.3">
      <c r="A687" s="7" t="str">
        <f>HYPERLINK("http://www.eatonpowersource.com/products/configure/screw-in%20cartridge%20valves/details/02-184241","02-184241")</f>
        <v>02-184241</v>
      </c>
      <c r="B687" s="8" t="s">
        <v>658</v>
      </c>
    </row>
    <row r="688" spans="1:2" x14ac:dyDescent="0.3">
      <c r="A688" s="5" t="str">
        <f>HYPERLINK("http://www.eatonpowersource.com/products/configure/screw-in%20cartridge%20valves/details/02-184501","02-184501")</f>
        <v>02-184501</v>
      </c>
      <c r="B688" s="6" t="s">
        <v>659</v>
      </c>
    </row>
    <row r="689" spans="1:2" x14ac:dyDescent="0.3">
      <c r="A689" s="7" t="str">
        <f>HYPERLINK("http://www.eatonpowersource.com/products/configure/screw-in%20cartridge%20valves/details/02-198656","02-198656")</f>
        <v>02-198656</v>
      </c>
      <c r="B689" s="8" t="s">
        <v>660</v>
      </c>
    </row>
    <row r="690" spans="1:2" x14ac:dyDescent="0.3">
      <c r="A690" s="5" t="str">
        <f>HYPERLINK("http://www.eatonpowersource.com/products/configure/screw-in%20cartridge%20valves/details/02-198769","02-198769")</f>
        <v>02-198769</v>
      </c>
      <c r="B690" s="6" t="s">
        <v>661</v>
      </c>
    </row>
    <row r="691" spans="1:2" x14ac:dyDescent="0.3">
      <c r="A691" s="7" t="str">
        <f>HYPERLINK("http://www.eatonpowersource.com/products/configure/screw-in%20cartridge%20valves/details/02-198923","02-198923")</f>
        <v>02-198923</v>
      </c>
      <c r="B691" s="8" t="s">
        <v>662</v>
      </c>
    </row>
    <row r="692" spans="1:2" x14ac:dyDescent="0.3">
      <c r="A692" s="5" t="str">
        <f>HYPERLINK("http://www.eatonpowersource.com/products/configure/screw-in%20cartridge%20valves/details/02-199310","02-199310")</f>
        <v>02-199310</v>
      </c>
      <c r="B692" s="6" t="s">
        <v>663</v>
      </c>
    </row>
    <row r="693" spans="1:2" x14ac:dyDescent="0.3">
      <c r="A693" s="7" t="str">
        <f>HYPERLINK("http://www.eatonpowersource.com/products/configure/screw-in%20cartridge%20valves/details/02-199852","02-199852")</f>
        <v>02-199852</v>
      </c>
      <c r="B693" s="8" t="s">
        <v>664</v>
      </c>
    </row>
    <row r="694" spans="1:2" x14ac:dyDescent="0.3">
      <c r="A694" s="5" t="str">
        <f>HYPERLINK("http://www.eatonpowersource.com/products/configure/screw-in%20cartridge%20valves/details/02-199940","02-199940")</f>
        <v>02-199940</v>
      </c>
      <c r="B694" s="6" t="s">
        <v>665</v>
      </c>
    </row>
    <row r="695" spans="1:2" x14ac:dyDescent="0.3">
      <c r="A695" s="7" t="str">
        <f>HYPERLINK("http://www.eatonpowersource.com/products/configure/screw-in%20cartridge%20valves/details/02-199992","02-199992")</f>
        <v>02-199992</v>
      </c>
      <c r="B695" s="8" t="s">
        <v>666</v>
      </c>
    </row>
    <row r="696" spans="1:2" x14ac:dyDescent="0.3">
      <c r="A696" s="5" t="str">
        <f>HYPERLINK("http://www.eatonpowersource.com/products/configure/screw-in%20cartridge%20valves/details/02-200187","02-200187")</f>
        <v>02-200187</v>
      </c>
      <c r="B696" s="6" t="s">
        <v>667</v>
      </c>
    </row>
    <row r="697" spans="1:2" x14ac:dyDescent="0.3">
      <c r="A697" s="7" t="str">
        <f>HYPERLINK("http://www.eatonpowersource.com/products/configure/screw-in%20cartridge%20valves/details/02-200394","02-200394")</f>
        <v>02-200394</v>
      </c>
      <c r="B697" s="8" t="s">
        <v>668</v>
      </c>
    </row>
    <row r="698" spans="1:2" x14ac:dyDescent="0.3">
      <c r="A698" s="5" t="str">
        <f>HYPERLINK("http://www.eatonpowersource.com/products/configure/screw-in%20cartridge%20valves/details/02-200708","02-200708")</f>
        <v>02-200708</v>
      </c>
      <c r="B698" s="6" t="s">
        <v>669</v>
      </c>
    </row>
    <row r="699" spans="1:2" x14ac:dyDescent="0.3">
      <c r="A699" s="7" t="str">
        <f>HYPERLINK("http://www.eatonpowersource.com/products/configure/screw-in%20cartridge%20valves/details/02-200709","02-200709")</f>
        <v>02-200709</v>
      </c>
      <c r="B699" s="8" t="s">
        <v>670</v>
      </c>
    </row>
    <row r="700" spans="1:2" x14ac:dyDescent="0.3">
      <c r="A700" s="5" t="str">
        <f>HYPERLINK("http://www.eatonpowersource.com/products/configure/screw-in%20cartridge%20valves/details/02-200718","02-200718")</f>
        <v>02-200718</v>
      </c>
      <c r="B700" s="6" t="s">
        <v>671</v>
      </c>
    </row>
    <row r="701" spans="1:2" x14ac:dyDescent="0.3">
      <c r="A701" s="7" t="str">
        <f>HYPERLINK("http://www.eatonpowersource.com/products/configure/screw-in%20cartridge%20valves/details/02-201426","02-201426")</f>
        <v>02-201426</v>
      </c>
      <c r="B701" s="8" t="s">
        <v>672</v>
      </c>
    </row>
    <row r="702" spans="1:2" x14ac:dyDescent="0.3">
      <c r="A702" s="5" t="str">
        <f>HYPERLINK("http://www.eatonpowersource.com/products/configure/screw-in%20cartridge%20valves/details/307aa00030a","307AA00030A")</f>
        <v>307AA00030A</v>
      </c>
      <c r="B702" s="6" t="s">
        <v>673</v>
      </c>
    </row>
    <row r="703" spans="1:2" x14ac:dyDescent="0.3">
      <c r="A703" s="7" t="str">
        <f>HYPERLINK("http://www.eatonpowersource.com/products/configure/screw-in%20cartridge%20valves/details/307aa00031a","307AA00031A")</f>
        <v>307AA00031A</v>
      </c>
      <c r="B703" s="8" t="s">
        <v>674</v>
      </c>
    </row>
    <row r="704" spans="1:2" x14ac:dyDescent="0.3">
      <c r="A704" s="5" t="str">
        <f>HYPERLINK("http://www.eatonpowersource.com/products/configure/screw-in%20cartridge%20valves/details/307aa00106a","307AA00106A")</f>
        <v>307AA00106A</v>
      </c>
      <c r="B704" s="6" t="s">
        <v>675</v>
      </c>
    </row>
    <row r="705" spans="1:2" x14ac:dyDescent="0.3">
      <c r="A705" s="7" t="str">
        <f>HYPERLINK("http://www.eatonpowersource.com/products/configure/screw-in%20cartridge%20valves/details/307aa00170a","307AA00170A")</f>
        <v>307AA00170A</v>
      </c>
      <c r="B705" s="8" t="s">
        <v>676</v>
      </c>
    </row>
    <row r="706" spans="1:2" x14ac:dyDescent="0.3">
      <c r="A706" s="5" t="str">
        <f>HYPERLINK("http://www.eatonpowersource.com/products/configure/screw-in%20cartridge%20valves/details/307aa00235a","307AA00235A")</f>
        <v>307AA00235A</v>
      </c>
      <c r="B706" s="6" t="s">
        <v>677</v>
      </c>
    </row>
    <row r="707" spans="1:2" x14ac:dyDescent="0.3">
      <c r="A707" s="7" t="str">
        <f>HYPERLINK("http://www.eatonpowersource.com/products/configure/screw-in%20cartridge%20valves/details/307aa00312a","307AA00312A")</f>
        <v>307AA00312A</v>
      </c>
      <c r="B707" s="8" t="s">
        <v>678</v>
      </c>
    </row>
    <row r="708" spans="1:2" x14ac:dyDescent="0.3">
      <c r="A708" s="5" t="str">
        <f>HYPERLINK("http://www.eatonpowersource.com/products/configure/screw-in%20cartridge%20valves/details/307aa00324a","307AA00324A")</f>
        <v>307AA00324A</v>
      </c>
      <c r="B708" s="6" t="s">
        <v>679</v>
      </c>
    </row>
    <row r="709" spans="1:2" x14ac:dyDescent="0.3">
      <c r="A709" s="7" t="str">
        <f>HYPERLINK("http://www.eatonpowersource.com/products/configure/screw-in%20cartridge%20valves/details/307aa00357a","307AA00357A")</f>
        <v>307AA00357A</v>
      </c>
      <c r="B709" s="8" t="s">
        <v>680</v>
      </c>
    </row>
    <row r="710" spans="1:2" x14ac:dyDescent="0.3">
      <c r="A710" s="5" t="str">
        <f>HYPERLINK("http://www.eatonpowersource.com/products/configure/screw-in%20cartridge%20valves/details/307aa00380a","307AA00380A")</f>
        <v>307AA00380A</v>
      </c>
      <c r="B710" s="6" t="s">
        <v>681</v>
      </c>
    </row>
    <row r="711" spans="1:2" x14ac:dyDescent="0.3">
      <c r="A711" s="7" t="str">
        <f>HYPERLINK("http://www.eatonpowersource.com/products/configure/screw-in%20cartridge%20valves/details/307aa00414a","307AA00414A")</f>
        <v>307AA00414A</v>
      </c>
      <c r="B711" s="8" t="s">
        <v>682</v>
      </c>
    </row>
    <row r="712" spans="1:2" x14ac:dyDescent="0.3">
      <c r="A712" s="5" t="str">
        <f>HYPERLINK("http://www.eatonpowersource.com/products/configure/screw-in%20cartridge%20valves/details/307aa00583a","307AA00583A")</f>
        <v>307AA00583A</v>
      </c>
      <c r="B712" s="6" t="s">
        <v>683</v>
      </c>
    </row>
    <row r="713" spans="1:2" x14ac:dyDescent="0.3">
      <c r="A713" s="7" t="str">
        <f>HYPERLINK("http://www.eatonpowersource.com/products/configure/screw-in%20cartridge%20valves/details/307aa00611a","307AA00611A")</f>
        <v>307AA00611A</v>
      </c>
      <c r="B713" s="8" t="s">
        <v>684</v>
      </c>
    </row>
    <row r="714" spans="1:2" x14ac:dyDescent="0.3">
      <c r="A714" s="5" t="str">
        <f>HYPERLINK("http://www.eatonpowersource.com/products/configure/screw-in%20cartridge%20valves/details/307aa00642a","307AA00642A")</f>
        <v>307AA00642A</v>
      </c>
      <c r="B714" s="6" t="s">
        <v>685</v>
      </c>
    </row>
    <row r="715" spans="1:2" x14ac:dyDescent="0.3">
      <c r="A715" s="7" t="str">
        <f>HYPERLINK("http://www.eatonpowersource.com/products/configure/screw-in%20cartridge%20valves/details/307aa00665a","307AA00665A")</f>
        <v>307AA00665A</v>
      </c>
      <c r="B715" s="8" t="s">
        <v>686</v>
      </c>
    </row>
    <row r="716" spans="1:2" x14ac:dyDescent="0.3">
      <c r="A716" s="5" t="str">
        <f>HYPERLINK("http://www.eatonpowersource.com/products/configure/screw-in%20cartridge%20valves/details/307aa00707a","307AA00707A")</f>
        <v>307AA00707A</v>
      </c>
      <c r="B716" s="6" t="s">
        <v>687</v>
      </c>
    </row>
    <row r="717" spans="1:2" x14ac:dyDescent="0.3">
      <c r="A717" s="7" t="str">
        <f>HYPERLINK("http://www.eatonpowersource.com/products/configure/screw-in%20cartridge%20valves/details/307aa00714a","307AA00714A")</f>
        <v>307AA00714A</v>
      </c>
      <c r="B717" s="8" t="s">
        <v>688</v>
      </c>
    </row>
    <row r="718" spans="1:2" x14ac:dyDescent="0.3">
      <c r="A718" s="5" t="str">
        <f>HYPERLINK("http://www.eatonpowersource.com/products/configure/screw-in%20cartridge%20valves/details/404aa00163a","404AA00163A")</f>
        <v>404AA00163A</v>
      </c>
      <c r="B718" s="6" t="s">
        <v>689</v>
      </c>
    </row>
    <row r="719" spans="1:2" x14ac:dyDescent="0.3">
      <c r="A719" s="7" t="str">
        <f>HYPERLINK("http://www.eatonpowersource.com/products/configure/screw-in%20cartridge%20valves/details/407aa00003a","407AA00003A")</f>
        <v>407AA00003A</v>
      </c>
      <c r="B719" s="8" t="s">
        <v>690</v>
      </c>
    </row>
    <row r="720" spans="1:2" x14ac:dyDescent="0.3">
      <c r="A720" s="5" t="str">
        <f>HYPERLINK("http://www.eatonpowersource.com/products/configure/screw-in%20cartridge%20valves/details/407aa00005a","407AA00005A")</f>
        <v>407AA00005A</v>
      </c>
      <c r="B720" s="6" t="s">
        <v>691</v>
      </c>
    </row>
    <row r="721" spans="1:2" x14ac:dyDescent="0.3">
      <c r="A721" s="7" t="str">
        <f>HYPERLINK("http://www.eatonpowersource.com/products/configure/screw-in%20cartridge%20valves/details/407aa00006a","407AA00006A")</f>
        <v>407AA00006A</v>
      </c>
      <c r="B721" s="8" t="s">
        <v>692</v>
      </c>
    </row>
    <row r="722" spans="1:2" x14ac:dyDescent="0.3">
      <c r="A722" s="5" t="str">
        <f>HYPERLINK("http://www.eatonpowersource.com/products/configure/screw-in%20cartridge%20valves/details/407aa00007a","407AA00007A")</f>
        <v>407AA00007A</v>
      </c>
      <c r="B722" s="6" t="s">
        <v>693</v>
      </c>
    </row>
    <row r="723" spans="1:2" x14ac:dyDescent="0.3">
      <c r="A723" s="7" t="str">
        <f>HYPERLINK("http://www.eatonpowersource.com/products/configure/screw-in%20cartridge%20valves/details/407aa00008a","407AA00008A")</f>
        <v>407AA00008A</v>
      </c>
      <c r="B723" s="8" t="s">
        <v>694</v>
      </c>
    </row>
    <row r="724" spans="1:2" x14ac:dyDescent="0.3">
      <c r="A724" s="5" t="str">
        <f>HYPERLINK("http://www.eatonpowersource.com/products/configure/screw-in%20cartridge%20valves/details/407aa00009a","407AA00009A")</f>
        <v>407AA00009A</v>
      </c>
      <c r="B724" s="6" t="s">
        <v>695</v>
      </c>
    </row>
    <row r="725" spans="1:2" x14ac:dyDescent="0.3">
      <c r="A725" s="7" t="str">
        <f>HYPERLINK("http://www.eatonpowersource.com/products/configure/screw-in%20cartridge%20valves/details/407aa00010a","407AA00010A")</f>
        <v>407AA00010A</v>
      </c>
      <c r="B725" s="8" t="s">
        <v>696</v>
      </c>
    </row>
    <row r="726" spans="1:2" x14ac:dyDescent="0.3">
      <c r="A726" s="5" t="str">
        <f>HYPERLINK("http://www.eatonpowersource.com/products/configure/screw-in%20cartridge%20valves/details/407aa00011a","407AA00011A")</f>
        <v>407AA00011A</v>
      </c>
      <c r="B726" s="6" t="s">
        <v>697</v>
      </c>
    </row>
    <row r="727" spans="1:2" x14ac:dyDescent="0.3">
      <c r="A727" s="7" t="str">
        <f>HYPERLINK("http://www.eatonpowersource.com/products/configure/screw-in%20cartridge%20valves/details/407aa00012a","407AA00012A")</f>
        <v>407AA00012A</v>
      </c>
      <c r="B727" s="8" t="s">
        <v>698</v>
      </c>
    </row>
    <row r="728" spans="1:2" x14ac:dyDescent="0.3">
      <c r="A728" s="5" t="str">
        <f>HYPERLINK("http://www.eatonpowersource.com/products/configure/screw-in%20cartridge%20valves/details/407aa00013a","407AA00013A")</f>
        <v>407AA00013A</v>
      </c>
      <c r="B728" s="6" t="s">
        <v>699</v>
      </c>
    </row>
    <row r="729" spans="1:2" x14ac:dyDescent="0.3">
      <c r="A729" s="7" t="str">
        <f>HYPERLINK("http://www.eatonpowersource.com/products/configure/screw-in%20cartridge%20valves/details/407aa00014a","407AA00014A")</f>
        <v>407AA00014A</v>
      </c>
      <c r="B729" s="8" t="s">
        <v>700</v>
      </c>
    </row>
    <row r="730" spans="1:2" x14ac:dyDescent="0.3">
      <c r="A730" s="5" t="str">
        <f>HYPERLINK("http://www.eatonpowersource.com/products/configure/screw-in%20cartridge%20valves/details/407aa00044a","407AA00044A")</f>
        <v>407AA00044A</v>
      </c>
      <c r="B730" s="6" t="s">
        <v>701</v>
      </c>
    </row>
    <row r="731" spans="1:2" x14ac:dyDescent="0.3">
      <c r="A731" s="7" t="str">
        <f>HYPERLINK("http://www.eatonpowersource.com/products/configure/screw-in%20cartridge%20valves/details/407aa00048a","407AA00048A")</f>
        <v>407AA00048A</v>
      </c>
      <c r="B731" s="8" t="s">
        <v>702</v>
      </c>
    </row>
    <row r="732" spans="1:2" x14ac:dyDescent="0.3">
      <c r="A732" s="5" t="str">
        <f>HYPERLINK("http://www.eatonpowersource.com/products/configure/screw-in%20cartridge%20valves/details/407aa00123a","407AA00123A")</f>
        <v>407AA00123A</v>
      </c>
      <c r="B732" s="6" t="s">
        <v>703</v>
      </c>
    </row>
    <row r="733" spans="1:2" x14ac:dyDescent="0.3">
      <c r="A733" s="7" t="str">
        <f>HYPERLINK("http://www.eatonpowersource.com/products/configure/screw-in%20cartridge%20valves/details/407aa00130a","407AA00130A")</f>
        <v>407AA00130A</v>
      </c>
      <c r="B733" s="8" t="s">
        <v>704</v>
      </c>
    </row>
    <row r="734" spans="1:2" x14ac:dyDescent="0.3">
      <c r="A734" s="5" t="str">
        <f>HYPERLINK("http://www.eatonpowersource.com/products/configure/screw-in%20cartridge%20valves/details/407aa00133a","407AA00133A")</f>
        <v>407AA00133A</v>
      </c>
      <c r="B734" s="6" t="s">
        <v>705</v>
      </c>
    </row>
    <row r="735" spans="1:2" x14ac:dyDescent="0.3">
      <c r="A735" s="7" t="str">
        <f>HYPERLINK("http://www.eatonpowersource.com/products/configure/screw-in%20cartridge%20valves/details/407aa00136a","407AA00136A")</f>
        <v>407AA00136A</v>
      </c>
      <c r="B735" s="8" t="s">
        <v>706</v>
      </c>
    </row>
    <row r="736" spans="1:2" x14ac:dyDescent="0.3">
      <c r="A736" s="5" t="str">
        <f>HYPERLINK("http://www.eatonpowersource.com/products/configure/screw-in%20cartridge%20valves/details/407aa00137a","407AA00137A")</f>
        <v>407AA00137A</v>
      </c>
      <c r="B736" s="6" t="s">
        <v>707</v>
      </c>
    </row>
    <row r="737" spans="1:2" x14ac:dyDescent="0.3">
      <c r="A737" s="7" t="str">
        <f>HYPERLINK("http://www.eatonpowersource.com/products/configure/screw-in%20cartridge%20valves/details/407aa00138a","407AA00138A")</f>
        <v>407AA00138A</v>
      </c>
      <c r="B737" s="8" t="s">
        <v>708</v>
      </c>
    </row>
    <row r="738" spans="1:2" x14ac:dyDescent="0.3">
      <c r="A738" s="5" t="str">
        <f>HYPERLINK("http://www.eatonpowersource.com/products/configure/screw-in%20cartridge%20valves/details/407aa00139a","407AA00139A")</f>
        <v>407AA00139A</v>
      </c>
      <c r="B738" s="6" t="s">
        <v>709</v>
      </c>
    </row>
    <row r="739" spans="1:2" x14ac:dyDescent="0.3">
      <c r="A739" s="7" t="str">
        <f>HYPERLINK("http://www.eatonpowersource.com/products/configure/screw-in%20cartridge%20valves/details/407aa00140a","407AA00140A")</f>
        <v>407AA00140A</v>
      </c>
      <c r="B739" s="8" t="s">
        <v>710</v>
      </c>
    </row>
    <row r="740" spans="1:2" x14ac:dyDescent="0.3">
      <c r="A740" s="5" t="str">
        <f>HYPERLINK("http://www.eatonpowersource.com/products/configure/screw-in%20cartridge%20valves/details/407aa00151a","407AA00151A")</f>
        <v>407AA00151A</v>
      </c>
      <c r="B740" s="6" t="s">
        <v>711</v>
      </c>
    </row>
    <row r="741" spans="1:2" x14ac:dyDescent="0.3">
      <c r="A741" s="7" t="str">
        <f>HYPERLINK("http://www.eatonpowersource.com/products/configure/screw-in%20cartridge%20valves/details/407aa00153a","407AA00153A")</f>
        <v>407AA00153A</v>
      </c>
      <c r="B741" s="8" t="s">
        <v>712</v>
      </c>
    </row>
    <row r="742" spans="1:2" x14ac:dyDescent="0.3">
      <c r="A742" s="5" t="str">
        <f>HYPERLINK("http://www.eatonpowersource.com/products/configure/screw-in%20cartridge%20valves/details/407aa00155a","407AA00155A")</f>
        <v>407AA00155A</v>
      </c>
      <c r="B742" s="6" t="s">
        <v>713</v>
      </c>
    </row>
    <row r="743" spans="1:2" x14ac:dyDescent="0.3">
      <c r="A743" s="7" t="str">
        <f>HYPERLINK("http://www.eatonpowersource.com/products/configure/screw-in%20cartridge%20valves/details/407aa00157a","407AA00157A")</f>
        <v>407AA00157A</v>
      </c>
      <c r="B743" s="8" t="s">
        <v>714</v>
      </c>
    </row>
    <row r="744" spans="1:2" x14ac:dyDescent="0.3">
      <c r="A744" s="5" t="str">
        <f>HYPERLINK("http://www.eatonpowersource.com/products/configure/screw-in%20cartridge%20valves/details/407aa00158a","407AA00158A")</f>
        <v>407AA00158A</v>
      </c>
      <c r="B744" s="6" t="s">
        <v>715</v>
      </c>
    </row>
    <row r="745" spans="1:2" x14ac:dyDescent="0.3">
      <c r="A745" s="7" t="str">
        <f>HYPERLINK("http://www.eatonpowersource.com/products/configure/screw-in%20cartridge%20valves/details/407aa00159a","407AA00159A")</f>
        <v>407AA00159A</v>
      </c>
      <c r="B745" s="8" t="s">
        <v>716</v>
      </c>
    </row>
    <row r="746" spans="1:2" x14ac:dyDescent="0.3">
      <c r="A746" s="5" t="str">
        <f>HYPERLINK("http://www.eatonpowersource.com/products/configure/screw-in%20cartridge%20valves/details/407aa00161a","407AA00161A")</f>
        <v>407AA00161A</v>
      </c>
      <c r="B746" s="6" t="s">
        <v>717</v>
      </c>
    </row>
    <row r="747" spans="1:2" x14ac:dyDescent="0.3">
      <c r="A747" s="7" t="str">
        <f>HYPERLINK("http://www.eatonpowersource.com/products/configure/screw-in%20cartridge%20valves/details/407aa00166a","407AA00166A")</f>
        <v>407AA00166A</v>
      </c>
      <c r="B747" s="8" t="s">
        <v>718</v>
      </c>
    </row>
    <row r="748" spans="1:2" x14ac:dyDescent="0.3">
      <c r="A748" s="5" t="str">
        <f>HYPERLINK("http://www.eatonpowersource.com/products/configure/screw-in%20cartridge%20valves/details/407aa00168a","407AA00168A")</f>
        <v>407AA00168A</v>
      </c>
      <c r="B748" s="6" t="s">
        <v>719</v>
      </c>
    </row>
    <row r="749" spans="1:2" x14ac:dyDescent="0.3">
      <c r="A749" s="7" t="str">
        <f>HYPERLINK("http://www.eatonpowersource.com/products/configure/screw-in%20cartridge%20valves/details/407aa00169a","407AA00169A")</f>
        <v>407AA00169A</v>
      </c>
      <c r="B749" s="8" t="s">
        <v>720</v>
      </c>
    </row>
    <row r="750" spans="1:2" x14ac:dyDescent="0.3">
      <c r="A750" s="5" t="str">
        <f>HYPERLINK("http://www.eatonpowersource.com/products/configure/screw-in%20cartridge%20valves/details/407aa00171a","407AA00171A")</f>
        <v>407AA00171A</v>
      </c>
      <c r="B750" s="6" t="s">
        <v>721</v>
      </c>
    </row>
    <row r="751" spans="1:2" x14ac:dyDescent="0.3">
      <c r="A751" s="7" t="str">
        <f>HYPERLINK("http://www.eatonpowersource.com/products/configure/screw-in%20cartridge%20valves/details/407aa00173a","407AA00173A")</f>
        <v>407AA00173A</v>
      </c>
      <c r="B751" s="8" t="s">
        <v>722</v>
      </c>
    </row>
    <row r="752" spans="1:2" x14ac:dyDescent="0.3">
      <c r="A752" s="5" t="str">
        <f>HYPERLINK("http://www.eatonpowersource.com/products/configure/screw-in%20cartridge%20valves/details/407aa00174a","407AA00174A")</f>
        <v>407AA00174A</v>
      </c>
      <c r="B752" s="6" t="s">
        <v>723</v>
      </c>
    </row>
    <row r="753" spans="1:2" x14ac:dyDescent="0.3">
      <c r="A753" s="7" t="str">
        <f>HYPERLINK("http://www.eatonpowersource.com/products/configure/screw-in%20cartridge%20valves/details/407aa00175a","407AA00175A")</f>
        <v>407AA00175A</v>
      </c>
      <c r="B753" s="8" t="s">
        <v>724</v>
      </c>
    </row>
    <row r="754" spans="1:2" x14ac:dyDescent="0.3">
      <c r="A754" s="5" t="str">
        <f>HYPERLINK("http://www.eatonpowersource.com/products/configure/screw-in%20cartridge%20valves/details/407aa00176a","407AA00176A")</f>
        <v>407AA00176A</v>
      </c>
      <c r="B754" s="6" t="s">
        <v>725</v>
      </c>
    </row>
    <row r="755" spans="1:2" x14ac:dyDescent="0.3">
      <c r="A755" s="7" t="str">
        <f>HYPERLINK("http://www.eatonpowersource.com/products/configure/screw-in%20cartridge%20valves/details/407aa00184a","407AA00184A")</f>
        <v>407AA00184A</v>
      </c>
      <c r="B755" s="8" t="s">
        <v>726</v>
      </c>
    </row>
    <row r="756" spans="1:2" x14ac:dyDescent="0.3">
      <c r="A756" s="5" t="str">
        <f>HYPERLINK("http://www.eatonpowersource.com/products/configure/screw-in%20cartridge%20valves/details/407aa00186a","407AA00186A")</f>
        <v>407AA00186A</v>
      </c>
      <c r="B756" s="6" t="s">
        <v>727</v>
      </c>
    </row>
    <row r="757" spans="1:2" x14ac:dyDescent="0.3">
      <c r="A757" s="7" t="str">
        <f>HYPERLINK("http://www.eatonpowersource.com/products/configure/screw-in%20cartridge%20valves/details/407aa00188a","407AA00188A")</f>
        <v>407AA00188A</v>
      </c>
      <c r="B757" s="8" t="s">
        <v>728</v>
      </c>
    </row>
    <row r="758" spans="1:2" x14ac:dyDescent="0.3">
      <c r="A758" s="5" t="str">
        <f>HYPERLINK("http://www.eatonpowersource.com/products/configure/screw-in%20cartridge%20valves/details/407aa00202a","407AA00202A")</f>
        <v>407AA00202A</v>
      </c>
      <c r="B758" s="6" t="s">
        <v>729</v>
      </c>
    </row>
    <row r="759" spans="1:2" x14ac:dyDescent="0.3">
      <c r="A759" s="7" t="str">
        <f>HYPERLINK("http://www.eatonpowersource.com/products/configure/screw-in%20cartridge%20valves/details/407aa00203a","407AA00203A")</f>
        <v>407AA00203A</v>
      </c>
      <c r="B759" s="8" t="s">
        <v>730</v>
      </c>
    </row>
    <row r="760" spans="1:2" x14ac:dyDescent="0.3">
      <c r="A760" s="5" t="str">
        <f>HYPERLINK("http://www.eatonpowersource.com/products/configure/screw-in%20cartridge%20valves/details/407aa00212a","407AA00212A")</f>
        <v>407AA00212A</v>
      </c>
      <c r="B760" s="6" t="s">
        <v>731</v>
      </c>
    </row>
    <row r="761" spans="1:2" x14ac:dyDescent="0.3">
      <c r="A761" s="7" t="str">
        <f>HYPERLINK("http://www.eatonpowersource.com/products/configure/screw-in%20cartridge%20valves/details/407aa00213a","407AA00213A")</f>
        <v>407AA00213A</v>
      </c>
      <c r="B761" s="8" t="s">
        <v>732</v>
      </c>
    </row>
    <row r="762" spans="1:2" x14ac:dyDescent="0.3">
      <c r="A762" s="5" t="str">
        <f>HYPERLINK("http://www.eatonpowersource.com/products/configure/screw-in%20cartridge%20valves/details/407aa00221a","407AA00221A")</f>
        <v>407AA00221A</v>
      </c>
      <c r="B762" s="6" t="s">
        <v>733</v>
      </c>
    </row>
    <row r="763" spans="1:2" x14ac:dyDescent="0.3">
      <c r="A763" s="7" t="str">
        <f>HYPERLINK("http://www.eatonpowersource.com/products/configure/screw-in%20cartridge%20valves/details/407aa00231a","407AA00231A")</f>
        <v>407AA00231A</v>
      </c>
      <c r="B763" s="8" t="s">
        <v>734</v>
      </c>
    </row>
    <row r="764" spans="1:2" x14ac:dyDescent="0.3">
      <c r="A764" s="5" t="str">
        <f>HYPERLINK("http://www.eatonpowersource.com/products/configure/screw-in%20cartridge%20valves/details/407aa00235a","407AA00235A")</f>
        <v>407AA00235A</v>
      </c>
      <c r="B764" s="6" t="s">
        <v>735</v>
      </c>
    </row>
    <row r="765" spans="1:2" x14ac:dyDescent="0.3">
      <c r="A765" s="7" t="str">
        <f>HYPERLINK("http://www.eatonpowersource.com/products/configure/screw-in%20cartridge%20valves/details/407aa00244a","407AA00244A")</f>
        <v>407AA00244A</v>
      </c>
      <c r="B765" s="8" t="s">
        <v>736</v>
      </c>
    </row>
    <row r="766" spans="1:2" x14ac:dyDescent="0.3">
      <c r="A766" s="5" t="str">
        <f>HYPERLINK("http://www.eatonpowersource.com/products/configure/screw-in%20cartridge%20valves/details/407aa00245a","407AA00245A")</f>
        <v>407AA00245A</v>
      </c>
      <c r="B766" s="6" t="s">
        <v>737</v>
      </c>
    </row>
    <row r="767" spans="1:2" x14ac:dyDescent="0.3">
      <c r="A767" s="7" t="str">
        <f>HYPERLINK("http://www.eatonpowersource.com/products/configure/screw-in%20cartridge%20valves/details/407aa00253a","407AA00253A")</f>
        <v>407AA00253A</v>
      </c>
      <c r="B767" s="8" t="s">
        <v>738</v>
      </c>
    </row>
    <row r="768" spans="1:2" x14ac:dyDescent="0.3">
      <c r="A768" s="5" t="str">
        <f>HYPERLINK("http://www.eatonpowersource.com/products/configure/screw-in%20cartridge%20valves/details/407aa00255a","407AA00255A")</f>
        <v>407AA00255A</v>
      </c>
      <c r="B768" s="6" t="s">
        <v>739</v>
      </c>
    </row>
    <row r="769" spans="1:2" x14ac:dyDescent="0.3">
      <c r="A769" s="7" t="str">
        <f>HYPERLINK("http://www.eatonpowersource.com/products/configure/screw-in%20cartridge%20valves/details/407aa00258a","407AA00258A")</f>
        <v>407AA00258A</v>
      </c>
      <c r="B769" s="8" t="s">
        <v>740</v>
      </c>
    </row>
    <row r="770" spans="1:2" x14ac:dyDescent="0.3">
      <c r="A770" s="5" t="str">
        <f>HYPERLINK("http://www.eatonpowersource.com/products/configure/screw-in%20cartridge%20valves/details/407aa00259a","407AA00259A")</f>
        <v>407AA00259A</v>
      </c>
      <c r="B770" s="6" t="s">
        <v>741</v>
      </c>
    </row>
    <row r="771" spans="1:2" x14ac:dyDescent="0.3">
      <c r="A771" s="7" t="str">
        <f>HYPERLINK("http://www.eatonpowersource.com/products/configure/screw-in%20cartridge%20valves/details/407aa00270a","407AA00270A")</f>
        <v>407AA00270A</v>
      </c>
      <c r="B771" s="8" t="s">
        <v>742</v>
      </c>
    </row>
    <row r="772" spans="1:2" x14ac:dyDescent="0.3">
      <c r="A772" s="5" t="str">
        <f>HYPERLINK("http://www.eatonpowersource.com/products/configure/screw-in%20cartridge%20valves/details/407aa00271a","407AA00271A")</f>
        <v>407AA00271A</v>
      </c>
      <c r="B772" s="6" t="s">
        <v>743</v>
      </c>
    </row>
    <row r="773" spans="1:2" x14ac:dyDescent="0.3">
      <c r="A773" s="7" t="str">
        <f>HYPERLINK("http://www.eatonpowersource.com/products/configure/screw-in%20cartridge%20valves/details/407aa00274a","407AA00274A")</f>
        <v>407AA00274A</v>
      </c>
      <c r="B773" s="8" t="s">
        <v>744</v>
      </c>
    </row>
    <row r="774" spans="1:2" x14ac:dyDescent="0.3">
      <c r="A774" s="5" t="str">
        <f>HYPERLINK("http://www.eatonpowersource.com/products/configure/screw-in%20cartridge%20valves/details/407aa00275a","407AA00275A")</f>
        <v>407AA00275A</v>
      </c>
      <c r="B774" s="6" t="s">
        <v>745</v>
      </c>
    </row>
    <row r="775" spans="1:2" x14ac:dyDescent="0.3">
      <c r="A775" s="7" t="str">
        <f>HYPERLINK("http://www.eatonpowersource.com/products/configure/screw-in%20cartridge%20valves/details/407aa00296a","407AA00296A")</f>
        <v>407AA00296A</v>
      </c>
      <c r="B775" s="8" t="s">
        <v>746</v>
      </c>
    </row>
    <row r="776" spans="1:2" x14ac:dyDescent="0.3">
      <c r="A776" s="5" t="str">
        <f>HYPERLINK("http://www.eatonpowersource.com/products/configure/screw-in%20cartridge%20valves/details/407aa00392a","407AA00392A")</f>
        <v>407AA00392A</v>
      </c>
      <c r="B776" s="6" t="s">
        <v>747</v>
      </c>
    </row>
    <row r="777" spans="1:2" x14ac:dyDescent="0.3">
      <c r="A777" s="7" t="str">
        <f>HYPERLINK("http://www.eatonpowersource.com/products/configure/screw-in%20cartridge%20valves/details/407aa00433a","407AA00433A")</f>
        <v>407AA00433A</v>
      </c>
      <c r="B777" s="8" t="s">
        <v>748</v>
      </c>
    </row>
    <row r="778" spans="1:2" x14ac:dyDescent="0.3">
      <c r="A778" s="5" t="str">
        <f>HYPERLINK("http://www.eatonpowersource.com/products/configure/screw-in%20cartridge%20valves/details/407aa00468a","407AA00468A")</f>
        <v>407AA00468A</v>
      </c>
      <c r="B778" s="6" t="s">
        <v>749</v>
      </c>
    </row>
    <row r="779" spans="1:2" x14ac:dyDescent="0.3">
      <c r="A779" s="7" t="str">
        <f>HYPERLINK("http://www.eatonpowersource.com/products/configure/screw-in%20cartridge%20valves/details/407aa00477a","407AA00477A")</f>
        <v>407AA00477A</v>
      </c>
      <c r="B779" s="8" t="s">
        <v>750</v>
      </c>
    </row>
    <row r="780" spans="1:2" x14ac:dyDescent="0.3">
      <c r="A780" s="5" t="str">
        <f>HYPERLINK("http://www.eatonpowersource.com/products/configure/screw-in%20cartridge%20valves/details/407aa00521a","407AA00521A")</f>
        <v>407AA00521A</v>
      </c>
      <c r="B780" s="6" t="s">
        <v>751</v>
      </c>
    </row>
    <row r="781" spans="1:2" x14ac:dyDescent="0.3">
      <c r="A781" s="7" t="str">
        <f>HYPERLINK("http://www.eatonpowersource.com/products/configure/screw-in%20cartridge%20valves/details/407aa00525a","407AA00525A")</f>
        <v>407AA00525A</v>
      </c>
      <c r="B781" s="8" t="s">
        <v>752</v>
      </c>
    </row>
    <row r="782" spans="1:2" x14ac:dyDescent="0.3">
      <c r="A782" s="5" t="str">
        <f>HYPERLINK("http://www.eatonpowersource.com/products/configure/screw-in%20cartridge%20valves/details/407aa00694a","407AA00694A")</f>
        <v>407AA00694A</v>
      </c>
      <c r="B782" s="6" t="s">
        <v>753</v>
      </c>
    </row>
    <row r="783" spans="1:2" x14ac:dyDescent="0.3">
      <c r="A783" s="7" t="str">
        <f>HYPERLINK("http://www.eatonpowersource.com/products/configure/screw-in%20cartridge%20valves/details/407aa00708a","407AA00708A")</f>
        <v>407AA00708A</v>
      </c>
      <c r="B783" s="8" t="s">
        <v>754</v>
      </c>
    </row>
    <row r="784" spans="1:2" x14ac:dyDescent="0.3">
      <c r="A784" s="5" t="str">
        <f>HYPERLINK("http://www.eatonpowersource.com/products/configure/screw-in%20cartridge%20valves/details/407aa00711a","407AA00711A")</f>
        <v>407AA00711A</v>
      </c>
      <c r="B784" s="6" t="s">
        <v>755</v>
      </c>
    </row>
    <row r="785" spans="1:2" x14ac:dyDescent="0.3">
      <c r="A785" s="7" t="str">
        <f>HYPERLINK("http://www.eatonpowersource.com/products/configure/screw-in%20cartridge%20valves/details/407aa00716a","407AA00716A")</f>
        <v>407AA00716A</v>
      </c>
      <c r="B785" s="8" t="s">
        <v>756</v>
      </c>
    </row>
    <row r="786" spans="1:2" x14ac:dyDescent="0.3">
      <c r="A786" s="5" t="str">
        <f>HYPERLINK("http://www.eatonpowersource.com/products/configure/screw-in%20cartridge%20valves/details/407aa00718a","407AA00718A")</f>
        <v>407AA00718A</v>
      </c>
      <c r="B786" s="6" t="s">
        <v>757</v>
      </c>
    </row>
    <row r="787" spans="1:2" x14ac:dyDescent="0.3">
      <c r="A787" s="7" t="str">
        <f>HYPERLINK("http://www.eatonpowersource.com/products/configure/screw-in%20cartridge%20valves/details/407aa00777a","407AA00777A")</f>
        <v>407AA00777A</v>
      </c>
      <c r="B787" s="8" t="s">
        <v>758</v>
      </c>
    </row>
    <row r="788" spans="1:2" x14ac:dyDescent="0.3">
      <c r="A788" s="5" t="str">
        <f>HYPERLINK("http://www.eatonpowersource.com/products/configure/screw-in%20cartridge%20valves/details/407aa00778a","407AA00778A")</f>
        <v>407AA00778A</v>
      </c>
      <c r="B788" s="6" t="s">
        <v>759</v>
      </c>
    </row>
    <row r="789" spans="1:2" x14ac:dyDescent="0.3">
      <c r="A789" s="7" t="str">
        <f>HYPERLINK("http://www.eatonpowersource.com/products/configure/screw-in%20cartridge%20valves/details/407aa00840a","407AA00840A")</f>
        <v>407AA00840A</v>
      </c>
      <c r="B789" s="8" t="s">
        <v>760</v>
      </c>
    </row>
    <row r="790" spans="1:2" x14ac:dyDescent="0.3">
      <c r="A790" s="5" t="str">
        <f>HYPERLINK("http://www.eatonpowersource.com/products/configure/screw-in%20cartridge%20valves/details/407aa00847a","407AA00847A")</f>
        <v>407AA00847A</v>
      </c>
      <c r="B790" s="6" t="s">
        <v>761</v>
      </c>
    </row>
    <row r="791" spans="1:2" x14ac:dyDescent="0.3">
      <c r="A791" s="7" t="str">
        <f>HYPERLINK("http://www.eatonpowersource.com/products/configure/screw-in%20cartridge%20valves/details/407aa00850a","407AA00850A")</f>
        <v>407AA00850A</v>
      </c>
      <c r="B791" s="8" t="s">
        <v>762</v>
      </c>
    </row>
    <row r="792" spans="1:2" x14ac:dyDescent="0.3">
      <c r="A792" s="5" t="str">
        <f>HYPERLINK("http://www.eatonpowersource.com/products/configure/screw-in%20cartridge%20valves/details/407aa00895a","407AA00895A")</f>
        <v>407AA00895A</v>
      </c>
      <c r="B792" s="6" t="s">
        <v>763</v>
      </c>
    </row>
    <row r="793" spans="1:2" x14ac:dyDescent="0.3">
      <c r="A793" s="7" t="str">
        <f>HYPERLINK("http://www.eatonpowersource.com/products/configure/screw-in%20cartridge%20valves/details/407aa00967a","407AA00967A")</f>
        <v>407AA00967A</v>
      </c>
      <c r="B793" s="8" t="s">
        <v>764</v>
      </c>
    </row>
    <row r="794" spans="1:2" x14ac:dyDescent="0.3">
      <c r="A794" s="5" t="str">
        <f>HYPERLINK("http://www.eatonpowersource.com/products/configure/screw-in%20cartridge%20valves/details/407aa00970a","407AA00970A")</f>
        <v>407AA00970A</v>
      </c>
      <c r="B794" s="6" t="s">
        <v>765</v>
      </c>
    </row>
    <row r="795" spans="1:2" x14ac:dyDescent="0.3">
      <c r="A795" s="7" t="str">
        <f>HYPERLINK("http://www.eatonpowersource.com/products/configure/screw-in%20cartridge%20valves/details/407aa01017a","407AA01017A")</f>
        <v>407AA01017A</v>
      </c>
      <c r="B795" s="8" t="s">
        <v>766</v>
      </c>
    </row>
    <row r="796" spans="1:2" x14ac:dyDescent="0.3">
      <c r="A796" s="5" t="str">
        <f>HYPERLINK("http://www.eatonpowersource.com/products/configure/screw-in%20cartridge%20valves/details/407aa01021a","407AA01021A")</f>
        <v>407AA01021A</v>
      </c>
      <c r="B796" s="6" t="s">
        <v>767</v>
      </c>
    </row>
    <row r="797" spans="1:2" x14ac:dyDescent="0.3">
      <c r="A797" s="7" t="str">
        <f>HYPERLINK("http://www.eatonpowersource.com/products/configure/screw-in%20cartridge%20valves/details/407aa01023a","407AA01023A")</f>
        <v>407AA01023A</v>
      </c>
      <c r="B797" s="8" t="s">
        <v>768</v>
      </c>
    </row>
    <row r="798" spans="1:2" x14ac:dyDescent="0.3">
      <c r="A798" s="5" t="str">
        <f>HYPERLINK("http://www.eatonpowersource.com/products/configure/screw-in%20cartridge%20valves/details/407aa01024a","407AA01024A")</f>
        <v>407AA01024A</v>
      </c>
      <c r="B798" s="6" t="s">
        <v>769</v>
      </c>
    </row>
    <row r="799" spans="1:2" x14ac:dyDescent="0.3">
      <c r="A799" s="7" t="str">
        <f>HYPERLINK("http://www.eatonpowersource.com/products/configure/screw-in%20cartridge%20valves/details/407aa01027a","407AA01027A")</f>
        <v>407AA01027A</v>
      </c>
      <c r="B799" s="8" t="s">
        <v>770</v>
      </c>
    </row>
    <row r="800" spans="1:2" x14ac:dyDescent="0.3">
      <c r="A800" s="5" t="str">
        <f>HYPERLINK("http://www.eatonpowersource.com/products/configure/screw-in%20cartridge%20valves/details/407aa01046a","407AA01046A")</f>
        <v>407AA01046A</v>
      </c>
      <c r="B800" s="6" t="s">
        <v>771</v>
      </c>
    </row>
    <row r="801" spans="1:2" x14ac:dyDescent="0.3">
      <c r="A801" s="7" t="str">
        <f>HYPERLINK("http://www.eatonpowersource.com/products/configure/screw-in%20cartridge%20valves/details/407aa01050a","407AA01050A")</f>
        <v>407AA01050A</v>
      </c>
      <c r="B801" s="8" t="s">
        <v>772</v>
      </c>
    </row>
    <row r="802" spans="1:2" x14ac:dyDescent="0.3">
      <c r="A802" s="5" t="str">
        <f>HYPERLINK("http://www.eatonpowersource.com/products/configure/screw-in%20cartridge%20valves/details/407aa01120a","407AA01120A")</f>
        <v>407AA01120A</v>
      </c>
      <c r="B802" s="6" t="s">
        <v>773</v>
      </c>
    </row>
    <row r="803" spans="1:2" x14ac:dyDescent="0.3">
      <c r="A803" s="7" t="str">
        <f>HYPERLINK("http://www.eatonpowersource.com/products/configure/screw-in%20cartridge%20valves/details/407aa01124a","407AA01124A")</f>
        <v>407AA01124A</v>
      </c>
      <c r="B803" s="8" t="s">
        <v>774</v>
      </c>
    </row>
    <row r="804" spans="1:2" x14ac:dyDescent="0.3">
      <c r="A804" s="5" t="str">
        <f>HYPERLINK("http://www.eatonpowersource.com/products/configure/screw-in%20cartridge%20valves/details/407aa01129a","407AA01129A")</f>
        <v>407AA01129A</v>
      </c>
      <c r="B804" s="6" t="s">
        <v>775</v>
      </c>
    </row>
    <row r="805" spans="1:2" x14ac:dyDescent="0.3">
      <c r="A805" s="7" t="str">
        <f>HYPERLINK("http://www.eatonpowersource.com/products/configure/screw-in%20cartridge%20valves/details/407aa01130a","407AA01130A")</f>
        <v>407AA01130A</v>
      </c>
      <c r="B805" s="8" t="s">
        <v>776</v>
      </c>
    </row>
    <row r="806" spans="1:2" x14ac:dyDescent="0.3">
      <c r="A806" s="5" t="str">
        <f>HYPERLINK("http://www.eatonpowersource.com/products/configure/screw-in%20cartridge%20valves/details/407aa01158a","407AA01158A")</f>
        <v>407AA01158A</v>
      </c>
      <c r="B806" s="6" t="s">
        <v>777</v>
      </c>
    </row>
    <row r="807" spans="1:2" x14ac:dyDescent="0.3">
      <c r="A807" s="7" t="str">
        <f>HYPERLINK("http://www.eatonpowersource.com/products/configure/screw-in%20cartridge%20valves/details/407aa01708a","407AA01708A")</f>
        <v>407AA01708A</v>
      </c>
      <c r="B807" s="8" t="s">
        <v>778</v>
      </c>
    </row>
    <row r="808" spans="1:2" x14ac:dyDescent="0.3">
      <c r="A808" s="5" t="str">
        <f>HYPERLINK("http://www.eatonpowersource.com/products/configure/screw-in%20cartridge%20valves/details/407aa01710a","407AA01710A")</f>
        <v>407AA01710A</v>
      </c>
      <c r="B808" s="6" t="s">
        <v>779</v>
      </c>
    </row>
    <row r="809" spans="1:2" x14ac:dyDescent="0.3">
      <c r="A809" s="7" t="str">
        <f>HYPERLINK("http://www.eatonpowersource.com/products/configure/screw-in%20cartridge%20valves/details/407aa01723a","407AA01723A")</f>
        <v>407AA01723A</v>
      </c>
      <c r="B809" s="8" t="s">
        <v>780</v>
      </c>
    </row>
    <row r="810" spans="1:2" x14ac:dyDescent="0.3">
      <c r="A810" s="5" t="str">
        <f>HYPERLINK("http://www.eatonpowersource.com/products/configure/screw-in%20cartridge%20valves/details/407aa01800a","407AA01800A")</f>
        <v>407AA01800A</v>
      </c>
      <c r="B810" s="6" t="s">
        <v>781</v>
      </c>
    </row>
    <row r="811" spans="1:2" x14ac:dyDescent="0.3">
      <c r="A811" s="7" t="str">
        <f>HYPERLINK("http://www.eatonpowersource.com/products/configure/screw-in%20cartridge%20valves/details/407aa01804a","407AA01804A")</f>
        <v>407AA01804A</v>
      </c>
      <c r="B811" s="8" t="s">
        <v>782</v>
      </c>
    </row>
    <row r="812" spans="1:2" x14ac:dyDescent="0.3">
      <c r="A812" s="5" t="str">
        <f>HYPERLINK("http://www.eatonpowersource.com/products/configure/screw-in%20cartridge%20valves/details/407aa01860a","407AA01860A")</f>
        <v>407AA01860A</v>
      </c>
      <c r="B812" s="6" t="s">
        <v>783</v>
      </c>
    </row>
    <row r="813" spans="1:2" x14ac:dyDescent="0.3">
      <c r="A813" s="7" t="str">
        <f>HYPERLINK("http://www.eatonpowersource.com/products/configure/screw-in%20cartridge%20valves/details/407aa01895a","407AA01895A")</f>
        <v>407AA01895A</v>
      </c>
      <c r="B813" s="8" t="s">
        <v>784</v>
      </c>
    </row>
    <row r="814" spans="1:2" x14ac:dyDescent="0.3">
      <c r="A814" s="5" t="str">
        <f>HYPERLINK("http://www.eatonpowersource.com/products/configure/screw-in%20cartridge%20valves/details/407aa01957a","407AA01957A")</f>
        <v>407AA01957A</v>
      </c>
      <c r="B814" s="6" t="s">
        <v>785</v>
      </c>
    </row>
    <row r="815" spans="1:2" x14ac:dyDescent="0.3">
      <c r="A815" s="7" t="str">
        <f>HYPERLINK("http://www.eatonpowersource.com/products/configure/screw-in%20cartridge%20valves/details/407aa01969a","407AA01969A")</f>
        <v>407AA01969A</v>
      </c>
      <c r="B815" s="8" t="s">
        <v>786</v>
      </c>
    </row>
    <row r="816" spans="1:2" x14ac:dyDescent="0.3">
      <c r="A816" s="5" t="str">
        <f>HYPERLINK("http://www.eatonpowersource.com/products/configure/screw-in%20cartridge%20valves/details/407aa02030a","407AA02030A")</f>
        <v>407AA02030A</v>
      </c>
      <c r="B816" s="6" t="s">
        <v>787</v>
      </c>
    </row>
    <row r="817" spans="1:2" x14ac:dyDescent="0.3">
      <c r="A817" s="7" t="str">
        <f>HYPERLINK("http://www.eatonpowersource.com/products/configure/screw-in%20cartridge%20valves/details/407aa02109a","407AA02109A")</f>
        <v>407AA02109A</v>
      </c>
      <c r="B817" s="8" t="s">
        <v>788</v>
      </c>
    </row>
    <row r="818" spans="1:2" x14ac:dyDescent="0.3">
      <c r="A818" s="5" t="str">
        <f>HYPERLINK("http://www.eatonpowersource.com/products/configure/screw-in%20cartridge%20valves/details/407aa02172a","407AA02172A")</f>
        <v>407AA02172A</v>
      </c>
      <c r="B818" s="6" t="s">
        <v>789</v>
      </c>
    </row>
    <row r="819" spans="1:2" x14ac:dyDescent="0.3">
      <c r="A819" s="7" t="str">
        <f>HYPERLINK("http://www.eatonpowersource.com/products/configure/screw-in%20cartridge%20valves/details/407aa02174a","407AA02174A")</f>
        <v>407AA02174A</v>
      </c>
      <c r="B819" s="8" t="s">
        <v>790</v>
      </c>
    </row>
    <row r="820" spans="1:2" x14ac:dyDescent="0.3">
      <c r="A820" s="5" t="str">
        <f>HYPERLINK("http://www.eatonpowersource.com/products/configure/screw-in%20cartridge%20valves/details/407aa02221a","407AA02221A")</f>
        <v>407AA02221A</v>
      </c>
      <c r="B820" s="6" t="s">
        <v>791</v>
      </c>
    </row>
    <row r="821" spans="1:2" x14ac:dyDescent="0.3">
      <c r="A821" s="7" t="str">
        <f>HYPERLINK("http://www.eatonpowersource.com/products/configure/screw-in%20cartridge%20valves/details/407aa02222a","407AA02222A")</f>
        <v>407AA02222A</v>
      </c>
      <c r="B821" s="8" t="s">
        <v>792</v>
      </c>
    </row>
    <row r="822" spans="1:2" x14ac:dyDescent="0.3">
      <c r="A822" s="5" t="str">
        <f>HYPERLINK("http://www.eatonpowersource.com/products/configure/screw-in%20cartridge%20valves/details/407aa02223a","407AA02223A")</f>
        <v>407AA02223A</v>
      </c>
      <c r="B822" s="6" t="s">
        <v>793</v>
      </c>
    </row>
    <row r="823" spans="1:2" x14ac:dyDescent="0.3">
      <c r="A823" s="7" t="str">
        <f>HYPERLINK("http://www.eatonpowersource.com/products/configure/screw-in%20cartridge%20valves/details/407aa02235a","407AA02235A")</f>
        <v>407AA02235A</v>
      </c>
      <c r="B823" s="8" t="s">
        <v>794</v>
      </c>
    </row>
    <row r="824" spans="1:2" x14ac:dyDescent="0.3">
      <c r="A824" s="5" t="str">
        <f>HYPERLINK("http://www.eatonpowersource.com/products/configure/screw-in%20cartridge%20valves/details/407aa03133a","407AA03133A")</f>
        <v>407AA03133A</v>
      </c>
      <c r="B824" s="6" t="s">
        <v>795</v>
      </c>
    </row>
    <row r="825" spans="1:2" x14ac:dyDescent="0.3">
      <c r="A825" s="7" t="str">
        <f>HYPERLINK("http://www.eatonpowersource.com/products/configure/screw-in%20cartridge%20valves/details/407aa03145a","407AA03145A")</f>
        <v>407AA03145A</v>
      </c>
      <c r="B825" s="8" t="s">
        <v>796</v>
      </c>
    </row>
    <row r="826" spans="1:2" x14ac:dyDescent="0.3">
      <c r="A826" s="5" t="str">
        <f>HYPERLINK("http://www.eatonpowersource.com/products/configure/screw-in%20cartridge%20valves/details/407aa03146a","407AA03146A")</f>
        <v>407AA03146A</v>
      </c>
      <c r="B826" s="6" t="s">
        <v>797</v>
      </c>
    </row>
    <row r="827" spans="1:2" x14ac:dyDescent="0.3">
      <c r="A827" s="7" t="str">
        <f>HYPERLINK("http://www.eatonpowersource.com/products/configure/screw-in%20cartridge%20valves/details/407aa03219a","407AA03219A")</f>
        <v>407AA03219A</v>
      </c>
      <c r="B827" s="8" t="s">
        <v>798</v>
      </c>
    </row>
    <row r="828" spans="1:2" x14ac:dyDescent="0.3">
      <c r="A828" s="5" t="str">
        <f>HYPERLINK("http://www.eatonpowersource.com/products/configure/screw-in%20cartridge%20valves/details/407aa03220a","407AA03220A")</f>
        <v>407AA03220A</v>
      </c>
      <c r="B828" s="6" t="s">
        <v>799</v>
      </c>
    </row>
    <row r="829" spans="1:2" x14ac:dyDescent="0.3">
      <c r="A829" s="7" t="str">
        <f>HYPERLINK("http://www.eatonpowersource.com/products/configure/screw-in%20cartridge%20valves/details/407aa03242a","407AA03242A")</f>
        <v>407AA03242A</v>
      </c>
      <c r="B829" s="8" t="s">
        <v>800</v>
      </c>
    </row>
    <row r="830" spans="1:2" x14ac:dyDescent="0.3">
      <c r="A830" s="5" t="str">
        <f>HYPERLINK("http://www.eatonpowersource.com/products/configure/screw-in%20cartridge%20valves/details/407aa03248a","407AA03248A")</f>
        <v>407AA03248A</v>
      </c>
      <c r="B830" s="6" t="s">
        <v>801</v>
      </c>
    </row>
    <row r="831" spans="1:2" x14ac:dyDescent="0.3">
      <c r="A831" s="7" t="str">
        <f>HYPERLINK("http://www.eatonpowersource.com/products/configure/screw-in%20cartridge%20valves/details/407aa03286a","407AA03286A")</f>
        <v>407AA03286A</v>
      </c>
      <c r="B831" s="8" t="s">
        <v>802</v>
      </c>
    </row>
    <row r="832" spans="1:2" x14ac:dyDescent="0.3">
      <c r="A832" s="5" t="str">
        <f>HYPERLINK("http://www.eatonpowersource.com/products/configure/screw-in%20cartridge%20valves/details/407aa03295a","407AA03295A")</f>
        <v>407AA03295A</v>
      </c>
      <c r="B832" s="6" t="s">
        <v>803</v>
      </c>
    </row>
    <row r="833" spans="1:2" x14ac:dyDescent="0.3">
      <c r="A833" s="7" t="str">
        <f>HYPERLINK("http://www.eatonpowersource.com/products/configure/screw-in%20cartridge%20valves/details/407aa03296a","407AA03296A")</f>
        <v>407AA03296A</v>
      </c>
      <c r="B833" s="8" t="s">
        <v>804</v>
      </c>
    </row>
    <row r="834" spans="1:2" x14ac:dyDescent="0.3">
      <c r="A834" s="5" t="str">
        <f>HYPERLINK("http://www.eatonpowersource.com/products/configure/screw-in%20cartridge%20valves/details/407aa03304a","407AA03304A")</f>
        <v>407AA03304A</v>
      </c>
      <c r="B834" s="6" t="s">
        <v>805</v>
      </c>
    </row>
    <row r="835" spans="1:2" x14ac:dyDescent="0.3">
      <c r="A835" s="7" t="str">
        <f>HYPERLINK("http://www.eatonpowersource.com/products/configure/screw-in%20cartridge%20valves/details/407aa03331a","407AA03331A")</f>
        <v>407AA03331A</v>
      </c>
      <c r="B835" s="8" t="s">
        <v>806</v>
      </c>
    </row>
    <row r="836" spans="1:2" x14ac:dyDescent="0.3">
      <c r="A836" s="5" t="str">
        <f>HYPERLINK("http://www.eatonpowersource.com/products/configure/screw-in%20cartridge%20valves/details/565562","565562")</f>
        <v>565562</v>
      </c>
      <c r="B836" s="6" t="s">
        <v>807</v>
      </c>
    </row>
    <row r="837" spans="1:2" x14ac:dyDescent="0.3">
      <c r="A837" s="7" t="str">
        <f>HYPERLINK("http://www.eatonpowersource.com/products/configure/screw-in%20cartridge%20valves/details/565565","565565")</f>
        <v>565565</v>
      </c>
      <c r="B837" s="8" t="s">
        <v>808</v>
      </c>
    </row>
    <row r="838" spans="1:2" x14ac:dyDescent="0.3">
      <c r="A838" s="5" t="str">
        <f>HYPERLINK("http://www.eatonpowersource.com/products/configure/screw-in%20cartridge%20valves/details/565566","565566")</f>
        <v>565566</v>
      </c>
      <c r="B838" s="6" t="s">
        <v>809</v>
      </c>
    </row>
    <row r="839" spans="1:2" x14ac:dyDescent="0.3">
      <c r="A839" s="7" t="str">
        <f>HYPERLINK("http://www.eatonpowersource.com/products/configure/screw-in%20cartridge%20valves/details/565567","565567")</f>
        <v>565567</v>
      </c>
      <c r="B839" s="8" t="s">
        <v>810</v>
      </c>
    </row>
    <row r="840" spans="1:2" x14ac:dyDescent="0.3">
      <c r="A840" s="5" t="str">
        <f>HYPERLINK("http://www.eatonpowersource.com/products/configure/screw-in%20cartridge%20valves/details/565568","565568")</f>
        <v>565568</v>
      </c>
      <c r="B840" s="6" t="s">
        <v>811</v>
      </c>
    </row>
    <row r="841" spans="1:2" x14ac:dyDescent="0.3">
      <c r="A841" s="7" t="str">
        <f>HYPERLINK("http://www.eatonpowersource.com/products/configure/screw-in%20cartridge%20valves/details/565569","565569")</f>
        <v>565569</v>
      </c>
      <c r="B841" s="8" t="s">
        <v>812</v>
      </c>
    </row>
    <row r="842" spans="1:2" x14ac:dyDescent="0.3">
      <c r="A842" s="5" t="str">
        <f>HYPERLINK("http://www.eatonpowersource.com/products/configure/screw-in%20cartridge%20valves/details/565570","565570")</f>
        <v>565570</v>
      </c>
      <c r="B842" s="6" t="s">
        <v>813</v>
      </c>
    </row>
    <row r="843" spans="1:2" x14ac:dyDescent="0.3">
      <c r="A843" s="7" t="str">
        <f>HYPERLINK("http://www.eatonpowersource.com/products/configure/screw-in%20cartridge%20valves/details/565572","565572")</f>
        <v>565572</v>
      </c>
      <c r="B843" s="8" t="s">
        <v>814</v>
      </c>
    </row>
    <row r="844" spans="1:2" x14ac:dyDescent="0.3">
      <c r="A844" s="5" t="str">
        <f>HYPERLINK("http://www.eatonpowersource.com/products/configure/screw-in%20cartridge%20valves/details/565573","565573")</f>
        <v>565573</v>
      </c>
      <c r="B844" s="6" t="s">
        <v>815</v>
      </c>
    </row>
    <row r="845" spans="1:2" x14ac:dyDescent="0.3">
      <c r="A845" s="7" t="str">
        <f>HYPERLINK("http://www.eatonpowersource.com/products/configure/screw-in%20cartridge%20valves/details/565577","565577")</f>
        <v>565577</v>
      </c>
      <c r="B845" s="8" t="s">
        <v>816</v>
      </c>
    </row>
    <row r="846" spans="1:2" x14ac:dyDescent="0.3">
      <c r="A846" s="5" t="str">
        <f>HYPERLINK("http://www.eatonpowersource.com/products/configure/screw-in%20cartridge%20valves/details/565760","565760")</f>
        <v>565760</v>
      </c>
      <c r="B846" s="6" t="s">
        <v>817</v>
      </c>
    </row>
    <row r="847" spans="1:2" x14ac:dyDescent="0.3">
      <c r="A847" s="7" t="str">
        <f>HYPERLINK("http://www.eatonpowersource.com/products/configure/screw-in%20cartridge%20valves/details/565761","565761")</f>
        <v>565761</v>
      </c>
      <c r="B847" s="8" t="s">
        <v>818</v>
      </c>
    </row>
    <row r="848" spans="1:2" x14ac:dyDescent="0.3">
      <c r="A848" s="5" t="str">
        <f>HYPERLINK("http://www.eatonpowersource.com/products/configure/screw-in%20cartridge%20valves/details/565762","565762")</f>
        <v>565762</v>
      </c>
      <c r="B848" s="6" t="s">
        <v>819</v>
      </c>
    </row>
    <row r="849" spans="1:2" x14ac:dyDescent="0.3">
      <c r="A849" s="7" t="str">
        <f>HYPERLINK("http://www.eatonpowersource.com/products/configure/screw-in%20cartridge%20valves/details/565763","565763")</f>
        <v>565763</v>
      </c>
      <c r="B849" s="8" t="s">
        <v>820</v>
      </c>
    </row>
    <row r="850" spans="1:2" x14ac:dyDescent="0.3">
      <c r="A850" s="5" t="str">
        <f>HYPERLINK("http://www.eatonpowersource.com/products/configure/screw-in%20cartridge%20valves/details/565766","565766")</f>
        <v>565766</v>
      </c>
      <c r="B850" s="6" t="s">
        <v>821</v>
      </c>
    </row>
    <row r="851" spans="1:2" x14ac:dyDescent="0.3">
      <c r="A851" s="7" t="str">
        <f>HYPERLINK("http://www.eatonpowersource.com/products/configure/screw-in%20cartridge%20valves/details/565767","565767")</f>
        <v>565767</v>
      </c>
      <c r="B851" s="8" t="s">
        <v>822</v>
      </c>
    </row>
    <row r="852" spans="1:2" x14ac:dyDescent="0.3">
      <c r="A852" s="5" t="str">
        <f>HYPERLINK("http://www.eatonpowersource.com/products/configure/screw-in%20cartridge%20valves/details/565768","565768")</f>
        <v>565768</v>
      </c>
      <c r="B852" s="6" t="s">
        <v>823</v>
      </c>
    </row>
    <row r="853" spans="1:2" x14ac:dyDescent="0.3">
      <c r="A853" s="7" t="str">
        <f>HYPERLINK("http://www.eatonpowersource.com/products/configure/screw-in%20cartridge%20valves/details/565770","565770")</f>
        <v>565770</v>
      </c>
      <c r="B853" s="8" t="s">
        <v>824</v>
      </c>
    </row>
    <row r="854" spans="1:2" x14ac:dyDescent="0.3">
      <c r="A854" s="5" t="str">
        <f>HYPERLINK("http://www.eatonpowersource.com/products/configure/screw-in%20cartridge%20valves/details/565772","565772")</f>
        <v>565772</v>
      </c>
      <c r="B854" s="6" t="s">
        <v>825</v>
      </c>
    </row>
    <row r="855" spans="1:2" x14ac:dyDescent="0.3">
      <c r="A855" s="7" t="str">
        <f>HYPERLINK("http://www.eatonpowersource.com/products/configure/screw-in%20cartridge%20valves/details/565773","565773")</f>
        <v>565773</v>
      </c>
      <c r="B855" s="8" t="s">
        <v>826</v>
      </c>
    </row>
    <row r="856" spans="1:2" x14ac:dyDescent="0.3">
      <c r="A856" s="5" t="str">
        <f>HYPERLINK("http://www.eatonpowersource.com/products/configure/screw-in%20cartridge%20valves/details/565777","565777")</f>
        <v>565777</v>
      </c>
      <c r="B856" s="6" t="s">
        <v>827</v>
      </c>
    </row>
    <row r="857" spans="1:2" x14ac:dyDescent="0.3">
      <c r="A857" s="7" t="str">
        <f>HYPERLINK("http://www.eatonpowersource.com/products/configure/screw-in%20cartridge%20valves/details/565778","565778")</f>
        <v>565778</v>
      </c>
      <c r="B857" s="8" t="s">
        <v>828</v>
      </c>
    </row>
    <row r="858" spans="1:2" x14ac:dyDescent="0.3">
      <c r="A858" s="5" t="str">
        <f>HYPERLINK("http://www.eatonpowersource.com/products/configure/screw-in%20cartridge%20valves/details/565779","565779")</f>
        <v>565779</v>
      </c>
      <c r="B858" s="6" t="s">
        <v>829</v>
      </c>
    </row>
    <row r="859" spans="1:2" x14ac:dyDescent="0.3">
      <c r="A859" s="7" t="str">
        <f>HYPERLINK("http://www.eatonpowersource.com/products/configure/screw-in%20cartridge%20valves/details/565780","565780")</f>
        <v>565780</v>
      </c>
      <c r="B859" s="8" t="s">
        <v>830</v>
      </c>
    </row>
    <row r="860" spans="1:2" x14ac:dyDescent="0.3">
      <c r="A860" s="5" t="str">
        <f>HYPERLINK("http://www.eatonpowersource.com/products/configure/screw-in%20cartridge%20valves/details/565781","565781")</f>
        <v>565781</v>
      </c>
      <c r="B860" s="6" t="s">
        <v>831</v>
      </c>
    </row>
    <row r="861" spans="1:2" x14ac:dyDescent="0.3">
      <c r="A861" s="7" t="str">
        <f>HYPERLINK("http://www.eatonpowersource.com/products/configure/screw-in%20cartridge%20valves/details/565783","565783")</f>
        <v>565783</v>
      </c>
      <c r="B861" s="8" t="s">
        <v>832</v>
      </c>
    </row>
    <row r="862" spans="1:2" x14ac:dyDescent="0.3">
      <c r="A862" s="5" t="str">
        <f>HYPERLINK("http://www.eatonpowersource.com/products/configure/screw-in%20cartridge%20valves/details/565853","565853")</f>
        <v>565853</v>
      </c>
      <c r="B862" s="6" t="s">
        <v>833</v>
      </c>
    </row>
    <row r="863" spans="1:2" x14ac:dyDescent="0.3">
      <c r="A863" s="7" t="str">
        <f>HYPERLINK("http://www.eatonpowersource.com/products/configure/screw-in%20cartridge%20valves/details/565854","565854")</f>
        <v>565854</v>
      </c>
      <c r="B863" s="8" t="s">
        <v>834</v>
      </c>
    </row>
    <row r="864" spans="1:2" x14ac:dyDescent="0.3">
      <c r="A864" s="5" t="str">
        <f>HYPERLINK("http://www.eatonpowersource.com/products/configure/screw-in%20cartridge%20valves/details/565903","565903")</f>
        <v>565903</v>
      </c>
      <c r="B864" s="6" t="s">
        <v>835</v>
      </c>
    </row>
    <row r="865" spans="1:2" x14ac:dyDescent="0.3">
      <c r="A865" s="7" t="str">
        <f>HYPERLINK("http://www.eatonpowersource.com/products/configure/screw-in%20cartridge%20valves/details/565918","565918")</f>
        <v>565918</v>
      </c>
      <c r="B865" s="8" t="s">
        <v>836</v>
      </c>
    </row>
    <row r="866" spans="1:2" x14ac:dyDescent="0.3">
      <c r="A866" s="5" t="str">
        <f>HYPERLINK("http://www.eatonpowersource.com/products/configure/screw-in%20cartridge%20valves/details/565919","565919")</f>
        <v>565919</v>
      </c>
      <c r="B866" s="6" t="s">
        <v>837</v>
      </c>
    </row>
    <row r="867" spans="1:2" x14ac:dyDescent="0.3">
      <c r="A867" s="7" t="str">
        <f>HYPERLINK("http://www.eatonpowersource.com/products/configure/screw-in%20cartridge%20valves/details/565961","565961")</f>
        <v>565961</v>
      </c>
      <c r="B867" s="8" t="s">
        <v>838</v>
      </c>
    </row>
    <row r="868" spans="1:2" x14ac:dyDescent="0.3">
      <c r="A868" s="5" t="str">
        <f>HYPERLINK("http://www.eatonpowersource.com/products/configure/screw-in%20cartridge%20valves/details/565974","565974")</f>
        <v>565974</v>
      </c>
      <c r="B868" s="6" t="s">
        <v>839</v>
      </c>
    </row>
    <row r="869" spans="1:2" x14ac:dyDescent="0.3">
      <c r="A869" s="7" t="str">
        <f>HYPERLINK("http://www.eatonpowersource.com/products/configure/screw-in%20cartridge%20valves/details/565982","565982")</f>
        <v>565982</v>
      </c>
      <c r="B869" s="8" t="s">
        <v>840</v>
      </c>
    </row>
    <row r="870" spans="1:2" x14ac:dyDescent="0.3">
      <c r="A870" s="5" t="str">
        <f>HYPERLINK("http://www.eatonpowersource.com/products/configure/screw-in%20cartridge%20valves/details/566014","566014")</f>
        <v>566014</v>
      </c>
      <c r="B870" s="6" t="s">
        <v>841</v>
      </c>
    </row>
    <row r="871" spans="1:2" x14ac:dyDescent="0.3">
      <c r="A871" s="7" t="str">
        <f>HYPERLINK("http://www.eatonpowersource.com/products/configure/screw-in%20cartridge%20valves/details/566015","566015")</f>
        <v>566015</v>
      </c>
      <c r="B871" s="8" t="s">
        <v>842</v>
      </c>
    </row>
    <row r="872" spans="1:2" x14ac:dyDescent="0.3">
      <c r="A872" s="5" t="str">
        <f>HYPERLINK("http://www.eatonpowersource.com/products/configure/screw-in%20cartridge%20valves/details/566038","566038")</f>
        <v>566038</v>
      </c>
      <c r="B872" s="6" t="s">
        <v>843</v>
      </c>
    </row>
    <row r="873" spans="1:2" x14ac:dyDescent="0.3">
      <c r="A873" s="7" t="str">
        <f>HYPERLINK("http://www.eatonpowersource.com/products/configure/screw-in%20cartridge%20valves/details/566039","566039")</f>
        <v>566039</v>
      </c>
      <c r="B873" s="8" t="s">
        <v>844</v>
      </c>
    </row>
    <row r="874" spans="1:2" x14ac:dyDescent="0.3">
      <c r="A874" s="5" t="str">
        <f>HYPERLINK("http://www.eatonpowersource.com/products/configure/screw-in%20cartridge%20valves/details/566040","566040")</f>
        <v>566040</v>
      </c>
      <c r="B874" s="6" t="s">
        <v>845</v>
      </c>
    </row>
    <row r="875" spans="1:2" x14ac:dyDescent="0.3">
      <c r="A875" s="7" t="str">
        <f>HYPERLINK("http://www.eatonpowersource.com/products/configure/screw-in%20cartridge%20valves/details/566212","566212")</f>
        <v>566212</v>
      </c>
      <c r="B875" s="8" t="s">
        <v>846</v>
      </c>
    </row>
    <row r="876" spans="1:2" x14ac:dyDescent="0.3">
      <c r="A876" s="5" t="str">
        <f>HYPERLINK("http://www.eatonpowersource.com/products/configure/screw-in%20cartridge%20valves/details/566246","566246")</f>
        <v>566246</v>
      </c>
      <c r="B876" s="6" t="s">
        <v>847</v>
      </c>
    </row>
    <row r="877" spans="1:2" x14ac:dyDescent="0.3">
      <c r="A877" s="7" t="str">
        <f>HYPERLINK("http://www.eatonpowersource.com/products/configure/screw-in%20cartridge%20valves/details/566260","566260")</f>
        <v>566260</v>
      </c>
      <c r="B877" s="8" t="s">
        <v>848</v>
      </c>
    </row>
    <row r="878" spans="1:2" x14ac:dyDescent="0.3">
      <c r="A878" s="5" t="str">
        <f>HYPERLINK("http://www.eatonpowersource.com/products/configure/screw-in%20cartridge%20valves/details/566361","566361")</f>
        <v>566361</v>
      </c>
      <c r="B878" s="6" t="s">
        <v>849</v>
      </c>
    </row>
    <row r="879" spans="1:2" x14ac:dyDescent="0.3">
      <c r="A879" s="7" t="str">
        <f>HYPERLINK("http://www.eatonpowersource.com/products/configure/screw-in%20cartridge%20valves/details/566387","566387")</f>
        <v>566387</v>
      </c>
      <c r="B879" s="8" t="s">
        <v>850</v>
      </c>
    </row>
    <row r="880" spans="1:2" x14ac:dyDescent="0.3">
      <c r="A880" s="5" t="str">
        <f>HYPERLINK("http://www.eatonpowersource.com/products/configure/screw-in%20cartridge%20valves/details/566450","566450")</f>
        <v>566450</v>
      </c>
      <c r="B880" s="6" t="s">
        <v>851</v>
      </c>
    </row>
    <row r="881" spans="1:2" x14ac:dyDescent="0.3">
      <c r="A881" s="7" t="str">
        <f>HYPERLINK("http://www.eatonpowersource.com/products/configure/screw-in%20cartridge%20valves/details/566541","566541")</f>
        <v>566541</v>
      </c>
      <c r="B881" s="8" t="s">
        <v>852</v>
      </c>
    </row>
    <row r="882" spans="1:2" x14ac:dyDescent="0.3">
      <c r="A882" s="5" t="str">
        <f>HYPERLINK("http://www.eatonpowersource.com/products/configure/screw-in%20cartridge%20valves/details/566567","566567")</f>
        <v>566567</v>
      </c>
      <c r="B882" s="6" t="s">
        <v>853</v>
      </c>
    </row>
    <row r="883" spans="1:2" x14ac:dyDescent="0.3">
      <c r="A883" s="7" t="str">
        <f>HYPERLINK("http://www.eatonpowersource.com/products/configure/screw-in%20cartridge%20valves/details/566577","566577")</f>
        <v>566577</v>
      </c>
      <c r="B883" s="8" t="s">
        <v>854</v>
      </c>
    </row>
    <row r="884" spans="1:2" x14ac:dyDescent="0.3">
      <c r="A884" s="5" t="str">
        <f>HYPERLINK("http://www.eatonpowersource.com/products/configure/screw-in%20cartridge%20valves/details/566593","566593")</f>
        <v>566593</v>
      </c>
      <c r="B884" s="6" t="s">
        <v>855</v>
      </c>
    </row>
    <row r="885" spans="1:2" x14ac:dyDescent="0.3">
      <c r="A885" s="7" t="str">
        <f>HYPERLINK("http://www.eatonpowersource.com/products/configure/screw-in%20cartridge%20valves/details/566616","566616")</f>
        <v>566616</v>
      </c>
      <c r="B885" s="8" t="s">
        <v>856</v>
      </c>
    </row>
    <row r="886" spans="1:2" x14ac:dyDescent="0.3">
      <c r="A886" s="5" t="str">
        <f>HYPERLINK("http://www.eatonpowersource.com/products/configure/screw-in%20cartridge%20valves/details/566626","566626")</f>
        <v>566626</v>
      </c>
      <c r="B886" s="6" t="s">
        <v>857</v>
      </c>
    </row>
    <row r="887" spans="1:2" x14ac:dyDescent="0.3">
      <c r="A887" s="7" t="str">
        <f>HYPERLINK("http://www.eatonpowersource.com/products/configure/screw-in%20cartridge%20valves/details/566641","566641")</f>
        <v>566641</v>
      </c>
      <c r="B887" s="8" t="s">
        <v>858</v>
      </c>
    </row>
    <row r="888" spans="1:2" x14ac:dyDescent="0.3">
      <c r="A888" s="5" t="str">
        <f>HYPERLINK("http://www.eatonpowersource.com/products/configure/screw-in%20cartridge%20valves/details/566654","566654")</f>
        <v>566654</v>
      </c>
      <c r="B888" s="6" t="s">
        <v>859</v>
      </c>
    </row>
    <row r="889" spans="1:2" x14ac:dyDescent="0.3">
      <c r="A889" s="7" t="str">
        <f>HYPERLINK("http://www.eatonpowersource.com/products/configure/screw-in%20cartridge%20valves/details/566674","566674")</f>
        <v>566674</v>
      </c>
      <c r="B889" s="8" t="s">
        <v>860</v>
      </c>
    </row>
    <row r="890" spans="1:2" x14ac:dyDescent="0.3">
      <c r="A890" s="5" t="str">
        <f>HYPERLINK("http://www.eatonpowersource.com/products/configure/screw-in%20cartridge%20valves/details/566688","566688")</f>
        <v>566688</v>
      </c>
      <c r="B890" s="6" t="s">
        <v>861</v>
      </c>
    </row>
    <row r="891" spans="1:2" x14ac:dyDescent="0.3">
      <c r="A891" s="7" t="str">
        <f>HYPERLINK("http://www.eatonpowersource.com/products/configure/screw-in%20cartridge%20valves/details/889505","889505")</f>
        <v>889505</v>
      </c>
      <c r="B891" s="8" t="s">
        <v>862</v>
      </c>
    </row>
    <row r="892" spans="1:2" x14ac:dyDescent="0.3">
      <c r="A892" s="5" t="str">
        <f>HYPERLINK("http://www.eatonpowersource.com/products/configure/screw-in%20cartridge%20valves/details/889506","889506")</f>
        <v>889506</v>
      </c>
      <c r="B892" s="6" t="s">
        <v>863</v>
      </c>
    </row>
    <row r="893" spans="1:2" x14ac:dyDescent="0.3">
      <c r="A893" s="7" t="str">
        <f>HYPERLINK("http://www.eatonpowersource.com/products/configure/screw-in%20cartridge%20valves/details/889534","889534")</f>
        <v>889534</v>
      </c>
      <c r="B893" s="8" t="s">
        <v>864</v>
      </c>
    </row>
    <row r="894" spans="1:2" x14ac:dyDescent="0.3">
      <c r="A894" s="5" t="str">
        <f>HYPERLINK("http://www.eatonpowersource.com/products/configure/screw-in%20cartridge%20valves/details/889540","889540")</f>
        <v>889540</v>
      </c>
      <c r="B894" s="6" t="s">
        <v>865</v>
      </c>
    </row>
    <row r="895" spans="1:2" x14ac:dyDescent="0.3">
      <c r="A895" s="7" t="str">
        <f>HYPERLINK("http://www.eatonpowersource.com/products/configure/screw-in%20cartridge%20valves/details/889541","889541")</f>
        <v>889541</v>
      </c>
      <c r="B895" s="8" t="s">
        <v>866</v>
      </c>
    </row>
    <row r="896" spans="1:2" x14ac:dyDescent="0.3">
      <c r="A896" s="5" t="str">
        <f>HYPERLINK("http://www.eatonpowersource.com/products/configure/screw-in%20cartridge%20valves/details/889550","889550")</f>
        <v>889550</v>
      </c>
      <c r="B896" s="6" t="s">
        <v>867</v>
      </c>
    </row>
    <row r="897" spans="1:2" x14ac:dyDescent="0.3">
      <c r="A897" s="7" t="str">
        <f>HYPERLINK("http://www.eatonpowersource.com/products/configure/screw-in%20cartridge%20valves/details/889554","889554")</f>
        <v>889554</v>
      </c>
      <c r="B897" s="8" t="s">
        <v>868</v>
      </c>
    </row>
    <row r="898" spans="1:2" x14ac:dyDescent="0.3">
      <c r="A898" s="5" t="str">
        <f>HYPERLINK("http://www.eatonpowersource.com/products/configure/screw-in%20cartridge%20valves/details/889563","889563")</f>
        <v>889563</v>
      </c>
      <c r="B898" s="6" t="s">
        <v>869</v>
      </c>
    </row>
    <row r="899" spans="1:2" x14ac:dyDescent="0.3">
      <c r="A899" s="7" t="str">
        <f>HYPERLINK("http://www.eatonpowersource.com/products/configure/screw-in%20cartridge%20valves/details/889566","889566")</f>
        <v>889566</v>
      </c>
      <c r="B899" s="8" t="s">
        <v>870</v>
      </c>
    </row>
    <row r="900" spans="1:2" x14ac:dyDescent="0.3">
      <c r="A900" s="5" t="str">
        <f>HYPERLINK("http://www.eatonpowersource.com/products/configure/screw-in%20cartridge%20valves/details/889567","889567")</f>
        <v>889567</v>
      </c>
      <c r="B900" s="6" t="s">
        <v>871</v>
      </c>
    </row>
    <row r="901" spans="1:2" x14ac:dyDescent="0.3">
      <c r="A901" s="7" t="str">
        <f>HYPERLINK("http://www.eatonpowersource.com/products/configure/screw-in%20cartridge%20valves/details/02-164617","02-164617")</f>
        <v>02-164617</v>
      </c>
      <c r="B901" s="8" t="s">
        <v>872</v>
      </c>
    </row>
    <row r="902" spans="1:2" x14ac:dyDescent="0.3">
      <c r="A902" s="5" t="str">
        <f>HYPERLINK("http://www.eatonpowersource.com/products/configure/screw-in%20cartridge%20valves/details/02-164778","02-164778")</f>
        <v>02-164778</v>
      </c>
      <c r="B902" s="6" t="s">
        <v>873</v>
      </c>
    </row>
    <row r="903" spans="1:2" x14ac:dyDescent="0.3">
      <c r="A903" s="7" t="str">
        <f>HYPERLINK("http://www.eatonpowersource.com/products/configure/screw-in%20cartridge%20valves/details/02-173229","02-173229")</f>
        <v>02-173229</v>
      </c>
      <c r="B903" s="8" t="s">
        <v>874</v>
      </c>
    </row>
    <row r="904" spans="1:2" x14ac:dyDescent="0.3">
      <c r="A904" s="5" t="str">
        <f>HYPERLINK("http://www.eatonpowersource.com/products/configure/screw-in%20cartridge%20valves/details/02-173232","02-173232")</f>
        <v>02-173232</v>
      </c>
      <c r="B904" s="6" t="s">
        <v>875</v>
      </c>
    </row>
    <row r="905" spans="1:2" x14ac:dyDescent="0.3">
      <c r="A905" s="7" t="str">
        <f>HYPERLINK("http://www.eatonpowersource.com/products/configure/screw-in%20cartridge%20valves/details/02-173556","02-173556")</f>
        <v>02-173556</v>
      </c>
      <c r="B905" s="8" t="s">
        <v>876</v>
      </c>
    </row>
    <row r="906" spans="1:2" x14ac:dyDescent="0.3">
      <c r="A906" s="5" t="str">
        <f>HYPERLINK("http://www.eatonpowersource.com/products/configure/screw-in%20cartridge%20valves/details/02-174680","02-174680")</f>
        <v>02-174680</v>
      </c>
      <c r="B906" s="6" t="s">
        <v>877</v>
      </c>
    </row>
    <row r="907" spans="1:2" x14ac:dyDescent="0.3">
      <c r="A907" s="7" t="str">
        <f>HYPERLINK("http://www.eatonpowersource.com/products/configure/screw-in%20cartridge%20valves/details/02-175009","02-175009")</f>
        <v>02-175009</v>
      </c>
      <c r="B907" s="8" t="s">
        <v>878</v>
      </c>
    </row>
    <row r="908" spans="1:2" x14ac:dyDescent="0.3">
      <c r="A908" s="5" t="str">
        <f>HYPERLINK("http://www.eatonpowersource.com/products/configure/screw-in%20cartridge%20valves/details/02-176313","02-176313")</f>
        <v>02-176313</v>
      </c>
      <c r="B908" s="6" t="s">
        <v>879</v>
      </c>
    </row>
    <row r="909" spans="1:2" x14ac:dyDescent="0.3">
      <c r="A909" s="7" t="str">
        <f>HYPERLINK("http://www.eatonpowersource.com/products/configure/screw-in%20cartridge%20valves/details/02-177337","02-177337")</f>
        <v>02-177337</v>
      </c>
      <c r="B909" s="8" t="s">
        <v>880</v>
      </c>
    </row>
    <row r="910" spans="1:2" x14ac:dyDescent="0.3">
      <c r="A910" s="5" t="str">
        <f>HYPERLINK("http://www.eatonpowersource.com/products/configure/screw-in%20cartridge%20valves/details/02-177834","02-177834")</f>
        <v>02-177834</v>
      </c>
      <c r="B910" s="6" t="s">
        <v>881</v>
      </c>
    </row>
    <row r="911" spans="1:2" x14ac:dyDescent="0.3">
      <c r="A911" s="7" t="str">
        <f>HYPERLINK("http://www.eatonpowersource.com/products/configure/screw-in%20cartridge%20valves/details/02-177835","02-177835")</f>
        <v>02-177835</v>
      </c>
      <c r="B911" s="8" t="s">
        <v>882</v>
      </c>
    </row>
    <row r="912" spans="1:2" x14ac:dyDescent="0.3">
      <c r="A912" s="5" t="str">
        <f>HYPERLINK("http://www.eatonpowersource.com/products/configure/screw-in%20cartridge%20valves/details/02-184364","02-184364")</f>
        <v>02-184364</v>
      </c>
      <c r="B912" s="6" t="s">
        <v>883</v>
      </c>
    </row>
    <row r="913" spans="1:2" x14ac:dyDescent="0.3">
      <c r="A913" s="7" t="str">
        <f>HYPERLINK("http://www.eatonpowersource.com/products/configure/screw-in%20cartridge%20valves/details/02-198467","02-198467")</f>
        <v>02-198467</v>
      </c>
      <c r="B913" s="8" t="s">
        <v>884</v>
      </c>
    </row>
    <row r="914" spans="1:2" x14ac:dyDescent="0.3">
      <c r="A914" s="5" t="str">
        <f>HYPERLINK("http://www.eatonpowersource.com/products/configure/screw-in%20cartridge%20valves/details/407aa00001a","407AA00001A")</f>
        <v>407AA00001A</v>
      </c>
      <c r="B914" s="6" t="s">
        <v>885</v>
      </c>
    </row>
    <row r="915" spans="1:2" x14ac:dyDescent="0.3">
      <c r="A915" s="7" t="str">
        <f>HYPERLINK("http://www.eatonpowersource.com/products/configure/screw-in%20cartridge%20valves/details/407aa00002a","407AA00002A")</f>
        <v>407AA00002A</v>
      </c>
      <c r="B915" s="8" t="s">
        <v>886</v>
      </c>
    </row>
    <row r="916" spans="1:2" x14ac:dyDescent="0.3">
      <c r="A916" s="5" t="str">
        <f>HYPERLINK("http://www.eatonpowersource.com/products/configure/screw-in%20cartridge%20valves/details/407aa00016a","407AA00016A")</f>
        <v>407AA00016A</v>
      </c>
      <c r="B916" s="6" t="s">
        <v>887</v>
      </c>
    </row>
    <row r="917" spans="1:2" x14ac:dyDescent="0.3">
      <c r="A917" s="7" t="str">
        <f>HYPERLINK("http://www.eatonpowersource.com/products/configure/screw-in%20cartridge%20valves/details/407aa00142a","407AA00142A")</f>
        <v>407AA00142A</v>
      </c>
      <c r="B917" s="8" t="s">
        <v>888</v>
      </c>
    </row>
    <row r="918" spans="1:2" x14ac:dyDescent="0.3">
      <c r="A918" s="5" t="str">
        <f>HYPERLINK("http://www.eatonpowersource.com/products/configure/screw-in%20cartridge%20valves/details/407aa00143a","407AA00143A")</f>
        <v>407AA00143A</v>
      </c>
      <c r="B918" s="6" t="s">
        <v>889</v>
      </c>
    </row>
    <row r="919" spans="1:2" x14ac:dyDescent="0.3">
      <c r="A919" s="7" t="str">
        <f>HYPERLINK("http://www.eatonpowersource.com/products/configure/screw-in%20cartridge%20valves/details/407aa00144a","407AA00144A")</f>
        <v>407AA00144A</v>
      </c>
      <c r="B919" s="8" t="s">
        <v>890</v>
      </c>
    </row>
    <row r="920" spans="1:2" x14ac:dyDescent="0.3">
      <c r="A920" s="5" t="str">
        <f>HYPERLINK("http://www.eatonpowersource.com/products/configure/screw-in%20cartridge%20valves/details/407aa00147a","407AA00147A")</f>
        <v>407AA00147A</v>
      </c>
      <c r="B920" s="6" t="s">
        <v>891</v>
      </c>
    </row>
    <row r="921" spans="1:2" x14ac:dyDescent="0.3">
      <c r="A921" s="7" t="str">
        <f>HYPERLINK("http://www.eatonpowersource.com/products/configure/screw-in%20cartridge%20valves/details/407aa00149a","407AA00149A")</f>
        <v>407AA00149A</v>
      </c>
      <c r="B921" s="8" t="s">
        <v>892</v>
      </c>
    </row>
    <row r="922" spans="1:2" x14ac:dyDescent="0.3">
      <c r="A922" s="5" t="str">
        <f>HYPERLINK("http://www.eatonpowersource.com/products/configure/screw-in%20cartridge%20valves/details/407aa00150a","407AA00150A")</f>
        <v>407AA00150A</v>
      </c>
      <c r="B922" s="6" t="s">
        <v>893</v>
      </c>
    </row>
    <row r="923" spans="1:2" x14ac:dyDescent="0.3">
      <c r="A923" s="7" t="str">
        <f>HYPERLINK("http://www.eatonpowersource.com/products/configure/screw-in%20cartridge%20valves/details/407aa00227a","407AA00227A")</f>
        <v>407AA00227A</v>
      </c>
      <c r="B923" s="8" t="s">
        <v>894</v>
      </c>
    </row>
    <row r="924" spans="1:2" x14ac:dyDescent="0.3">
      <c r="A924" s="5" t="str">
        <f>HYPERLINK("http://www.eatonpowersource.com/products/configure/screw-in%20cartridge%20valves/details/407aa00228a","407AA00228A")</f>
        <v>407AA00228A</v>
      </c>
      <c r="B924" s="6" t="s">
        <v>895</v>
      </c>
    </row>
    <row r="925" spans="1:2" x14ac:dyDescent="0.3">
      <c r="A925" s="7" t="str">
        <f>HYPERLINK("http://www.eatonpowersource.com/products/configure/screw-in%20cartridge%20valves/details/407aa00577a","407AA00577A")</f>
        <v>407AA00577A</v>
      </c>
      <c r="B925" s="8" t="s">
        <v>896</v>
      </c>
    </row>
    <row r="926" spans="1:2" x14ac:dyDescent="0.3">
      <c r="A926" s="5" t="str">
        <f>HYPERLINK("http://www.eatonpowersource.com/products/configure/screw-in%20cartridge%20valves/details/407aa00580a","407AA00580A")</f>
        <v>407AA00580A</v>
      </c>
      <c r="B926" s="6" t="s">
        <v>897</v>
      </c>
    </row>
    <row r="927" spans="1:2" x14ac:dyDescent="0.3">
      <c r="A927" s="7" t="str">
        <f>HYPERLINK("http://www.eatonpowersource.com/products/configure/screw-in%20cartridge%20valves/details/407aa00582a","407AA00582A")</f>
        <v>407AA00582A</v>
      </c>
      <c r="B927" s="8" t="s">
        <v>898</v>
      </c>
    </row>
    <row r="928" spans="1:2" x14ac:dyDescent="0.3">
      <c r="A928" s="5" t="str">
        <f>HYPERLINK("http://www.eatonpowersource.com/products/configure/screw-in%20cartridge%20valves/details/407aa01013a","407AA01013A")</f>
        <v>407AA01013A</v>
      </c>
      <c r="B928" s="6" t="s">
        <v>899</v>
      </c>
    </row>
    <row r="929" spans="1:2" x14ac:dyDescent="0.3">
      <c r="A929" s="7" t="str">
        <f>HYPERLINK("http://www.eatonpowersource.com/products/configure/screw-in%20cartridge%20valves/details/407aa01852a","407AA01852A")</f>
        <v>407AA01852A</v>
      </c>
      <c r="B929" s="8" t="s">
        <v>900</v>
      </c>
    </row>
    <row r="930" spans="1:2" x14ac:dyDescent="0.3">
      <c r="A930" s="5" t="str">
        <f>HYPERLINK("http://www.eatonpowersource.com/products/configure/screw-in%20cartridge%20valves/details/565574","565574")</f>
        <v>565574</v>
      </c>
      <c r="B930" s="6" t="s">
        <v>901</v>
      </c>
    </row>
    <row r="931" spans="1:2" x14ac:dyDescent="0.3">
      <c r="A931" s="7" t="str">
        <f>HYPERLINK("http://www.eatonpowersource.com/products/configure/screw-in%20cartridge%20valves/details/565575","565575")</f>
        <v>565575</v>
      </c>
      <c r="B931" s="8" t="s">
        <v>902</v>
      </c>
    </row>
    <row r="932" spans="1:2" x14ac:dyDescent="0.3">
      <c r="A932" s="5" t="str">
        <f>HYPERLINK("http://www.eatonpowersource.com/products/configure/screw-in%20cartridge%20valves/details/566196","566196")</f>
        <v>566196</v>
      </c>
      <c r="B932" s="6" t="s">
        <v>903</v>
      </c>
    </row>
    <row r="933" spans="1:2" x14ac:dyDescent="0.3">
      <c r="A933" s="7" t="str">
        <f>HYPERLINK("http://www.eatonpowersource.com/products/configure/screw-in%20cartridge%20valves/details/02-112986","02-112986")</f>
        <v>02-112986</v>
      </c>
      <c r="B933" s="8" t="s">
        <v>904</v>
      </c>
    </row>
    <row r="934" spans="1:2" x14ac:dyDescent="0.3">
      <c r="A934" s="5" t="str">
        <f>HYPERLINK("http://www.eatonpowersource.com/products/configure/screw-in%20cartridge%20valves/details/02-176660","02-176660")</f>
        <v>02-176660</v>
      </c>
      <c r="B934" s="6" t="s">
        <v>905</v>
      </c>
    </row>
    <row r="935" spans="1:2" x14ac:dyDescent="0.3">
      <c r="A935" s="7" t="str">
        <f>HYPERLINK("http://www.eatonpowersource.com/products/configure/screw-in%20cartridge%20valves/details/307aa00032a","307AA00032A")</f>
        <v>307AA00032A</v>
      </c>
      <c r="B935" s="8" t="s">
        <v>906</v>
      </c>
    </row>
    <row r="936" spans="1:2" x14ac:dyDescent="0.3">
      <c r="A936" s="5" t="str">
        <f>HYPERLINK("http://www.eatonpowersource.com/products/configure/screw-in%20cartridge%20valves/details/307aa00033a","307AA00033A")</f>
        <v>307AA00033A</v>
      </c>
      <c r="B936" s="6" t="s">
        <v>907</v>
      </c>
    </row>
    <row r="937" spans="1:2" x14ac:dyDescent="0.3">
      <c r="A937" s="7" t="str">
        <f>HYPERLINK("http://www.eatonpowersource.com/products/configure/screw-in%20cartridge%20valves/details/307aa00036a","307AA00036A")</f>
        <v>307AA00036A</v>
      </c>
      <c r="B937" s="8" t="s">
        <v>908</v>
      </c>
    </row>
    <row r="938" spans="1:2" x14ac:dyDescent="0.3">
      <c r="A938" s="5" t="str">
        <f>HYPERLINK("http://www.eatonpowersource.com/products/configure/screw-in%20cartridge%20valves/details/307aa00037a","307AA00037A")</f>
        <v>307AA00037A</v>
      </c>
      <c r="B938" s="6" t="s">
        <v>909</v>
      </c>
    </row>
    <row r="939" spans="1:2" x14ac:dyDescent="0.3">
      <c r="A939" s="7" t="str">
        <f>HYPERLINK("http://www.eatonpowersource.com/products/configure/screw-in%20cartridge%20valves/details/307aa00039a","307AA00039A")</f>
        <v>307AA00039A</v>
      </c>
      <c r="B939" s="8" t="s">
        <v>910</v>
      </c>
    </row>
    <row r="940" spans="1:2" x14ac:dyDescent="0.3">
      <c r="A940" s="5" t="str">
        <f>HYPERLINK("http://www.eatonpowersource.com/products/configure/screw-in%20cartridge%20valves/details/307aa00040a","307AA00040A")</f>
        <v>307AA00040A</v>
      </c>
      <c r="B940" s="6" t="s">
        <v>911</v>
      </c>
    </row>
    <row r="941" spans="1:2" x14ac:dyDescent="0.3">
      <c r="A941" s="7" t="str">
        <f>HYPERLINK("http://www.eatonpowersource.com/products/configure/screw-in%20cartridge%20valves/details/307aa00041a","307AA00041A")</f>
        <v>307AA00041A</v>
      </c>
      <c r="B941" s="8" t="s">
        <v>912</v>
      </c>
    </row>
    <row r="942" spans="1:2" x14ac:dyDescent="0.3">
      <c r="A942" s="5" t="str">
        <f>HYPERLINK("http://www.eatonpowersource.com/products/configure/screw-in%20cartridge%20valves/details/407aa00177a","407AA00177A")</f>
        <v>407AA00177A</v>
      </c>
      <c r="B942" s="6" t="s">
        <v>913</v>
      </c>
    </row>
    <row r="943" spans="1:2" x14ac:dyDescent="0.3">
      <c r="A943" s="7" t="str">
        <f>HYPERLINK("http://www.eatonpowersource.com/products/configure/screw-in%20cartridge%20valves/details/407aa00211a","407AA00211A")</f>
        <v>407AA00211A</v>
      </c>
      <c r="B943" s="8" t="s">
        <v>914</v>
      </c>
    </row>
    <row r="944" spans="1:2" x14ac:dyDescent="0.3">
      <c r="A944" s="5" t="str">
        <f>HYPERLINK("http://www.eatonpowersource.com/products/configure/screw-in%20cartridge%20valves/details/407aa00214a","407AA00214A")</f>
        <v>407AA00214A</v>
      </c>
      <c r="B944" s="6" t="s">
        <v>915</v>
      </c>
    </row>
    <row r="945" spans="1:2" x14ac:dyDescent="0.3">
      <c r="A945" s="7" t="str">
        <f>HYPERLINK("http://www.eatonpowersource.com/products/configure/screw-in%20cartridge%20valves/details/407aa00226a","407AA00226A")</f>
        <v>407AA00226A</v>
      </c>
      <c r="B945" s="8" t="s">
        <v>916</v>
      </c>
    </row>
    <row r="946" spans="1:2" x14ac:dyDescent="0.3">
      <c r="A946" s="5" t="str">
        <f>HYPERLINK("http://www.eatonpowersource.com/products/configure/screw-in%20cartridge%20valves/details/407aa00252a","407AA00252A")</f>
        <v>407AA00252A</v>
      </c>
      <c r="B946" s="6" t="s">
        <v>917</v>
      </c>
    </row>
    <row r="947" spans="1:2" x14ac:dyDescent="0.3">
      <c r="A947" s="7" t="str">
        <f>HYPERLINK("http://www.eatonpowersource.com/products/configure/screw-in%20cartridge%20valves/details/407aa00574a","407AA00574A")</f>
        <v>407AA00574A</v>
      </c>
      <c r="B947" s="8" t="s">
        <v>918</v>
      </c>
    </row>
    <row r="948" spans="1:2" x14ac:dyDescent="0.3">
      <c r="A948" s="5" t="str">
        <f>HYPERLINK("http://www.eatonpowersource.com/products/configure/screw-in%20cartridge%20valves/details/407aa00834a","407AA00834A")</f>
        <v>407AA00834A</v>
      </c>
      <c r="B948" s="6" t="s">
        <v>919</v>
      </c>
    </row>
    <row r="949" spans="1:2" x14ac:dyDescent="0.3">
      <c r="A949" s="7" t="str">
        <f>HYPERLINK("http://www.eatonpowersource.com/products/configure/screw-in%20cartridge%20valves/details/407aa00971a","407AA00971A")</f>
        <v>407AA00971A</v>
      </c>
      <c r="B949" s="8" t="s">
        <v>920</v>
      </c>
    </row>
    <row r="950" spans="1:2" x14ac:dyDescent="0.3">
      <c r="A950" s="5" t="str">
        <f>HYPERLINK("http://www.eatonpowersource.com/products/configure/screw-in%20cartridge%20valves/details/407aa01783a","407AA01783A")</f>
        <v>407AA01783A</v>
      </c>
      <c r="B950" s="6" t="s">
        <v>921</v>
      </c>
    </row>
    <row r="951" spans="1:2" x14ac:dyDescent="0.3">
      <c r="A951" s="7" t="str">
        <f>HYPERLINK("http://www.eatonpowersource.com/products/configure/screw-in%20cartridge%20valves/details/407aa01788a","407AA01788A")</f>
        <v>407AA01788A</v>
      </c>
      <c r="B951" s="8" t="s">
        <v>922</v>
      </c>
    </row>
    <row r="952" spans="1:2" x14ac:dyDescent="0.3">
      <c r="A952" s="5" t="str">
        <f>HYPERLINK("http://www.eatonpowersource.com/products/configure/screw-in%20cartridge%20valves/details/407aa01790a","407AA01790A")</f>
        <v>407AA01790A</v>
      </c>
      <c r="B952" s="6" t="s">
        <v>923</v>
      </c>
    </row>
    <row r="953" spans="1:2" x14ac:dyDescent="0.3">
      <c r="A953" s="7" t="str">
        <f>HYPERLINK("http://www.eatonpowersource.com/products/configure/screw-in%20cartridge%20valves/details/407aa01801a","407AA01801A")</f>
        <v>407AA01801A</v>
      </c>
      <c r="B953" s="8" t="s">
        <v>924</v>
      </c>
    </row>
    <row r="954" spans="1:2" x14ac:dyDescent="0.3">
      <c r="A954" s="5" t="str">
        <f>HYPERLINK("http://www.eatonpowersource.com/products/configure/screw-in%20cartridge%20valves/details/407aa01967a","407AA01967A")</f>
        <v>407AA01967A</v>
      </c>
      <c r="B954" s="6" t="s">
        <v>925</v>
      </c>
    </row>
    <row r="955" spans="1:2" x14ac:dyDescent="0.3">
      <c r="A955" s="7" t="str">
        <f>HYPERLINK("http://www.eatonpowersource.com/products/configure/screw-in%20cartridge%20valves/details/407aa03246a","407AA03246A")</f>
        <v>407AA03246A</v>
      </c>
      <c r="B955" s="8" t="s">
        <v>926</v>
      </c>
    </row>
    <row r="956" spans="1:2" x14ac:dyDescent="0.3">
      <c r="A956" s="5" t="str">
        <f>HYPERLINK("http://www.eatonpowersource.com/products/configure/screw-in%20cartridge%20valves/details/407aa03247a","407AA03247A")</f>
        <v>407AA03247A</v>
      </c>
      <c r="B956" s="6" t="s">
        <v>927</v>
      </c>
    </row>
    <row r="957" spans="1:2" x14ac:dyDescent="0.3">
      <c r="A957" s="7" t="str">
        <f>HYPERLINK("http://www.eatonpowersource.com/products/configure/screw-in%20cartridge%20valves/details/02-112783","02-112783")</f>
        <v>02-112783</v>
      </c>
      <c r="B957" s="8" t="s">
        <v>928</v>
      </c>
    </row>
    <row r="958" spans="1:2" x14ac:dyDescent="0.3">
      <c r="A958" s="5" t="str">
        <f>HYPERLINK("http://www.eatonpowersource.com/products/configure/screw-in%20cartridge%20valves/details/02-112797","02-112797")</f>
        <v>02-112797</v>
      </c>
      <c r="B958" s="6" t="s">
        <v>929</v>
      </c>
    </row>
    <row r="959" spans="1:2" x14ac:dyDescent="0.3">
      <c r="A959" s="7" t="str">
        <f>HYPERLINK("http://www.eatonpowersource.com/products/configure/screw-in%20cartridge%20valves/details/02-112916","02-112916")</f>
        <v>02-112916</v>
      </c>
      <c r="B959" s="8" t="s">
        <v>930</v>
      </c>
    </row>
    <row r="960" spans="1:2" x14ac:dyDescent="0.3">
      <c r="A960" s="5" t="str">
        <f>HYPERLINK("http://www.eatonpowersource.com/products/configure/screw-in%20cartridge%20valves/details/02-112931","02-112931")</f>
        <v>02-112931</v>
      </c>
      <c r="B960" s="6" t="s">
        <v>931</v>
      </c>
    </row>
    <row r="961" spans="1:2" x14ac:dyDescent="0.3">
      <c r="A961" s="7" t="str">
        <f>HYPERLINK("http://www.eatonpowersource.com/products/configure/screw-in%20cartridge%20valves/details/02-112997","02-112997")</f>
        <v>02-112997</v>
      </c>
      <c r="B961" s="8" t="s">
        <v>932</v>
      </c>
    </row>
    <row r="962" spans="1:2" x14ac:dyDescent="0.3">
      <c r="A962" s="5" t="str">
        <f>HYPERLINK("http://www.eatonpowersource.com/products/configure/screw-in%20cartridge%20valves/details/02-151016","02-151016")</f>
        <v>02-151016</v>
      </c>
      <c r="B962" s="6" t="s">
        <v>933</v>
      </c>
    </row>
    <row r="963" spans="1:2" x14ac:dyDescent="0.3">
      <c r="A963" s="7" t="str">
        <f>HYPERLINK("http://www.eatonpowersource.com/products/configure/screw-in%20cartridge%20valves/details/02-160608","02-160608")</f>
        <v>02-160608</v>
      </c>
      <c r="B963" s="8" t="s">
        <v>934</v>
      </c>
    </row>
    <row r="964" spans="1:2" x14ac:dyDescent="0.3">
      <c r="A964" s="5" t="str">
        <f>HYPERLINK("http://www.eatonpowersource.com/products/configure/screw-in%20cartridge%20valves/details/02-162250","02-162250")</f>
        <v>02-162250</v>
      </c>
      <c r="B964" s="6" t="s">
        <v>935</v>
      </c>
    </row>
    <row r="965" spans="1:2" x14ac:dyDescent="0.3">
      <c r="A965" s="7" t="str">
        <f>HYPERLINK("http://www.eatonpowersource.com/products/configure/screw-in%20cartridge%20valves/details/02-162299","02-162299")</f>
        <v>02-162299</v>
      </c>
      <c r="B965" s="8" t="s">
        <v>936</v>
      </c>
    </row>
    <row r="966" spans="1:2" x14ac:dyDescent="0.3">
      <c r="A966" s="5" t="str">
        <f>HYPERLINK("http://www.eatonpowersource.com/products/configure/screw-in%20cartridge%20valves/details/02-162817","02-162817")</f>
        <v>02-162817</v>
      </c>
      <c r="B966" s="6" t="s">
        <v>937</v>
      </c>
    </row>
    <row r="967" spans="1:2" x14ac:dyDescent="0.3">
      <c r="A967" s="7" t="str">
        <f>HYPERLINK("http://www.eatonpowersource.com/products/configure/screw-in%20cartridge%20valves/details/02-170186","02-170186")</f>
        <v>02-170186</v>
      </c>
      <c r="B967" s="8" t="s">
        <v>938</v>
      </c>
    </row>
    <row r="968" spans="1:2" x14ac:dyDescent="0.3">
      <c r="A968" s="5" t="str">
        <f>HYPERLINK("http://www.eatonpowersource.com/products/configure/screw-in%20cartridge%20valves/details/02-170237","02-170237")</f>
        <v>02-170237</v>
      </c>
      <c r="B968" s="6" t="s">
        <v>939</v>
      </c>
    </row>
    <row r="969" spans="1:2" x14ac:dyDescent="0.3">
      <c r="A969" s="7" t="str">
        <f>HYPERLINK("http://www.eatonpowersource.com/products/configure/screw-in%20cartridge%20valves/details/02-170253","02-170253")</f>
        <v>02-170253</v>
      </c>
      <c r="B969" s="8" t="s">
        <v>940</v>
      </c>
    </row>
    <row r="970" spans="1:2" x14ac:dyDescent="0.3">
      <c r="A970" s="5" t="str">
        <f>HYPERLINK("http://www.eatonpowersource.com/products/configure/screw-in%20cartridge%20valves/details/02-170330","02-170330")</f>
        <v>02-170330</v>
      </c>
      <c r="B970" s="6" t="s">
        <v>941</v>
      </c>
    </row>
    <row r="971" spans="1:2" x14ac:dyDescent="0.3">
      <c r="A971" s="7" t="str">
        <f>HYPERLINK("http://www.eatonpowersource.com/products/configure/screw-in%20cartridge%20valves/details/02-170338","02-170338")</f>
        <v>02-170338</v>
      </c>
      <c r="B971" s="8" t="s">
        <v>942</v>
      </c>
    </row>
    <row r="972" spans="1:2" x14ac:dyDescent="0.3">
      <c r="A972" s="5" t="str">
        <f>HYPERLINK("http://www.eatonpowersource.com/products/configure/screw-in%20cartridge%20valves/details/02-170357","02-170357")</f>
        <v>02-170357</v>
      </c>
      <c r="B972" s="6" t="s">
        <v>943</v>
      </c>
    </row>
    <row r="973" spans="1:2" x14ac:dyDescent="0.3">
      <c r="A973" s="7" t="str">
        <f>HYPERLINK("http://www.eatonpowersource.com/products/configure/screw-in%20cartridge%20valves/details/02-170424","02-170424")</f>
        <v>02-170424</v>
      </c>
      <c r="B973" s="8" t="s">
        <v>944</v>
      </c>
    </row>
    <row r="974" spans="1:2" x14ac:dyDescent="0.3">
      <c r="A974" s="5" t="str">
        <f>HYPERLINK("http://www.eatonpowersource.com/products/configure/screw-in%20cartridge%20valves/details/02-170447","02-170447")</f>
        <v>02-170447</v>
      </c>
      <c r="B974" s="6" t="s">
        <v>945</v>
      </c>
    </row>
    <row r="975" spans="1:2" x14ac:dyDescent="0.3">
      <c r="A975" s="7" t="str">
        <f>HYPERLINK("http://www.eatonpowersource.com/products/configure/screw-in%20cartridge%20valves/details/02-170467","02-170467")</f>
        <v>02-170467</v>
      </c>
      <c r="B975" s="8" t="s">
        <v>946</v>
      </c>
    </row>
    <row r="976" spans="1:2" x14ac:dyDescent="0.3">
      <c r="A976" s="5" t="str">
        <f>HYPERLINK("http://www.eatonpowersource.com/products/configure/screw-in%20cartridge%20valves/details/02-170469","02-170469")</f>
        <v>02-170469</v>
      </c>
      <c r="B976" s="6" t="s">
        <v>947</v>
      </c>
    </row>
    <row r="977" spans="1:2" x14ac:dyDescent="0.3">
      <c r="A977" s="7" t="str">
        <f>HYPERLINK("http://www.eatonpowersource.com/products/configure/screw-in%20cartridge%20valves/details/02-170470","02-170470")</f>
        <v>02-170470</v>
      </c>
      <c r="B977" s="8" t="s">
        <v>948</v>
      </c>
    </row>
    <row r="978" spans="1:2" x14ac:dyDescent="0.3">
      <c r="A978" s="5" t="str">
        <f>HYPERLINK("http://www.eatonpowersource.com/products/configure/screw-in%20cartridge%20valves/details/02-170480","02-170480")</f>
        <v>02-170480</v>
      </c>
      <c r="B978" s="6" t="s">
        <v>949</v>
      </c>
    </row>
    <row r="979" spans="1:2" x14ac:dyDescent="0.3">
      <c r="A979" s="7" t="str">
        <f>HYPERLINK("http://www.eatonpowersource.com/products/configure/screw-in%20cartridge%20valves/details/02-170491","02-170491")</f>
        <v>02-170491</v>
      </c>
      <c r="B979" s="8" t="s">
        <v>950</v>
      </c>
    </row>
    <row r="980" spans="1:2" x14ac:dyDescent="0.3">
      <c r="A980" s="5" t="str">
        <f>HYPERLINK("http://www.eatonpowersource.com/products/configure/screw-in%20cartridge%20valves/details/02-170509","02-170509")</f>
        <v>02-170509</v>
      </c>
      <c r="B980" s="6" t="s">
        <v>951</v>
      </c>
    </row>
    <row r="981" spans="1:2" x14ac:dyDescent="0.3">
      <c r="A981" s="7" t="str">
        <f>HYPERLINK("http://www.eatonpowersource.com/products/configure/screw-in%20cartridge%20valves/details/02-170550","02-170550")</f>
        <v>02-170550</v>
      </c>
      <c r="B981" s="8" t="s">
        <v>952</v>
      </c>
    </row>
    <row r="982" spans="1:2" x14ac:dyDescent="0.3">
      <c r="A982" s="5" t="str">
        <f>HYPERLINK("http://www.eatonpowersource.com/products/configure/screw-in%20cartridge%20valves/details/02-170610","02-170610")</f>
        <v>02-170610</v>
      </c>
      <c r="B982" s="6" t="s">
        <v>953</v>
      </c>
    </row>
    <row r="983" spans="1:2" x14ac:dyDescent="0.3">
      <c r="A983" s="7" t="str">
        <f>HYPERLINK("http://www.eatonpowersource.com/products/configure/screw-in%20cartridge%20valves/details/02-170626","02-170626")</f>
        <v>02-170626</v>
      </c>
      <c r="B983" s="8" t="s">
        <v>954</v>
      </c>
    </row>
    <row r="984" spans="1:2" x14ac:dyDescent="0.3">
      <c r="A984" s="5" t="str">
        <f>HYPERLINK("http://www.eatonpowersource.com/products/configure/screw-in%20cartridge%20valves/details/02-170627","02-170627")</f>
        <v>02-170627</v>
      </c>
      <c r="B984" s="6" t="s">
        <v>955</v>
      </c>
    </row>
    <row r="985" spans="1:2" x14ac:dyDescent="0.3">
      <c r="A985" s="7" t="str">
        <f>HYPERLINK("http://www.eatonpowersource.com/products/configure/screw-in%20cartridge%20valves/details/02-170669","02-170669")</f>
        <v>02-170669</v>
      </c>
      <c r="B985" s="8" t="s">
        <v>956</v>
      </c>
    </row>
    <row r="986" spans="1:2" x14ac:dyDescent="0.3">
      <c r="A986" s="5" t="str">
        <f>HYPERLINK("http://www.eatonpowersource.com/products/configure/screw-in%20cartridge%20valves/details/02-170690","02-170690")</f>
        <v>02-170690</v>
      </c>
      <c r="B986" s="6" t="s">
        <v>957</v>
      </c>
    </row>
    <row r="987" spans="1:2" x14ac:dyDescent="0.3">
      <c r="A987" s="7" t="str">
        <f>HYPERLINK("http://www.eatonpowersource.com/products/configure/screw-in%20cartridge%20valves/details/02-170693","02-170693")</f>
        <v>02-170693</v>
      </c>
      <c r="B987" s="8" t="s">
        <v>958</v>
      </c>
    </row>
    <row r="988" spans="1:2" x14ac:dyDescent="0.3">
      <c r="A988" s="5" t="str">
        <f>HYPERLINK("http://www.eatonpowersource.com/products/configure/screw-in%20cartridge%20valves/details/02-170694","02-170694")</f>
        <v>02-170694</v>
      </c>
      <c r="B988" s="6" t="s">
        <v>959</v>
      </c>
    </row>
    <row r="989" spans="1:2" x14ac:dyDescent="0.3">
      <c r="A989" s="7" t="str">
        <f>HYPERLINK("http://www.eatonpowersource.com/products/configure/screw-in%20cartridge%20valves/details/02-170743","02-170743")</f>
        <v>02-170743</v>
      </c>
      <c r="B989" s="8" t="s">
        <v>960</v>
      </c>
    </row>
    <row r="990" spans="1:2" x14ac:dyDescent="0.3">
      <c r="A990" s="5" t="str">
        <f>HYPERLINK("http://www.eatonpowersource.com/products/configure/screw-in%20cartridge%20valves/details/02-170749","02-170749")</f>
        <v>02-170749</v>
      </c>
      <c r="B990" s="6" t="s">
        <v>961</v>
      </c>
    </row>
    <row r="991" spans="1:2" x14ac:dyDescent="0.3">
      <c r="A991" s="7" t="str">
        <f>HYPERLINK("http://www.eatonpowersource.com/products/configure/screw-in%20cartridge%20valves/details/02-170751","02-170751")</f>
        <v>02-170751</v>
      </c>
      <c r="B991" s="8" t="s">
        <v>962</v>
      </c>
    </row>
    <row r="992" spans="1:2" x14ac:dyDescent="0.3">
      <c r="A992" s="5" t="str">
        <f>HYPERLINK("http://www.eatonpowersource.com/products/configure/screw-in%20cartridge%20valves/details/02-170768","02-170768")</f>
        <v>02-170768</v>
      </c>
      <c r="B992" s="6" t="s">
        <v>963</v>
      </c>
    </row>
    <row r="993" spans="1:2" x14ac:dyDescent="0.3">
      <c r="A993" s="7" t="str">
        <f>HYPERLINK("http://www.eatonpowersource.com/products/configure/screw-in%20cartridge%20valves/details/02-170772","02-170772")</f>
        <v>02-170772</v>
      </c>
      <c r="B993" s="8" t="s">
        <v>964</v>
      </c>
    </row>
    <row r="994" spans="1:2" x14ac:dyDescent="0.3">
      <c r="A994" s="5" t="str">
        <f>HYPERLINK("http://www.eatonpowersource.com/products/configure/screw-in%20cartridge%20valves/details/02-170773","02-170773")</f>
        <v>02-170773</v>
      </c>
      <c r="B994" s="6" t="s">
        <v>965</v>
      </c>
    </row>
    <row r="995" spans="1:2" x14ac:dyDescent="0.3">
      <c r="A995" s="7" t="str">
        <f>HYPERLINK("http://www.eatonpowersource.com/products/configure/screw-in%20cartridge%20valves/details/02-171018","02-171018")</f>
        <v>02-171018</v>
      </c>
      <c r="B995" s="8" t="s">
        <v>966</v>
      </c>
    </row>
    <row r="996" spans="1:2" x14ac:dyDescent="0.3">
      <c r="A996" s="5" t="str">
        <f>HYPERLINK("http://www.eatonpowersource.com/products/configure/screw-in%20cartridge%20valves/details/02-171596","02-171596")</f>
        <v>02-171596</v>
      </c>
      <c r="B996" s="6" t="s">
        <v>967</v>
      </c>
    </row>
    <row r="997" spans="1:2" x14ac:dyDescent="0.3">
      <c r="A997" s="7" t="str">
        <f>HYPERLINK("http://www.eatonpowersource.com/products/configure/screw-in%20cartridge%20valves/details/02-171984","02-171984")</f>
        <v>02-171984</v>
      </c>
      <c r="B997" s="8" t="s">
        <v>968</v>
      </c>
    </row>
    <row r="998" spans="1:2" x14ac:dyDescent="0.3">
      <c r="A998" s="5" t="str">
        <f>HYPERLINK("http://www.eatonpowersource.com/products/configure/screw-in%20cartridge%20valves/details/02-172289","02-172289")</f>
        <v>02-172289</v>
      </c>
      <c r="B998" s="6" t="s">
        <v>969</v>
      </c>
    </row>
    <row r="999" spans="1:2" x14ac:dyDescent="0.3">
      <c r="A999" s="7" t="str">
        <f>HYPERLINK("http://www.eatonpowersource.com/products/configure/screw-in%20cartridge%20valves/details/02-172407","02-172407")</f>
        <v>02-172407</v>
      </c>
      <c r="B999" s="8" t="s">
        <v>970</v>
      </c>
    </row>
    <row r="1000" spans="1:2" x14ac:dyDescent="0.3">
      <c r="A1000" s="5" t="str">
        <f>HYPERLINK("http://www.eatonpowersource.com/products/configure/screw-in%20cartridge%20valves/details/02-173153","02-173153")</f>
        <v>02-173153</v>
      </c>
      <c r="B1000" s="6" t="s">
        <v>971</v>
      </c>
    </row>
    <row r="1001" spans="1:2" x14ac:dyDescent="0.3">
      <c r="A1001" s="7" t="str">
        <f>HYPERLINK("http://www.eatonpowersource.com/products/configure/screw-in%20cartridge%20valves/details/02-173154","02-173154")</f>
        <v>02-173154</v>
      </c>
      <c r="B1001" s="8" t="s">
        <v>972</v>
      </c>
    </row>
    <row r="1002" spans="1:2" x14ac:dyDescent="0.3">
      <c r="A1002" s="5" t="str">
        <f>HYPERLINK("http://www.eatonpowersource.com/products/configure/screw-in%20cartridge%20valves/details/02-173156","02-173156")</f>
        <v>02-173156</v>
      </c>
      <c r="B1002" s="6" t="s">
        <v>973</v>
      </c>
    </row>
    <row r="1003" spans="1:2" x14ac:dyDescent="0.3">
      <c r="A1003" s="7" t="str">
        <f>HYPERLINK("http://www.eatonpowersource.com/products/configure/screw-in%20cartridge%20valves/details/02-173157","02-173157")</f>
        <v>02-173157</v>
      </c>
      <c r="B1003" s="8" t="s">
        <v>974</v>
      </c>
    </row>
    <row r="1004" spans="1:2" x14ac:dyDescent="0.3">
      <c r="A1004" s="5" t="str">
        <f>HYPERLINK("http://www.eatonpowersource.com/products/configure/screw-in%20cartridge%20valves/details/02-173169","02-173169")</f>
        <v>02-173169</v>
      </c>
      <c r="B1004" s="6" t="s">
        <v>975</v>
      </c>
    </row>
    <row r="1005" spans="1:2" x14ac:dyDescent="0.3">
      <c r="A1005" s="7" t="str">
        <f>HYPERLINK("http://www.eatonpowersource.com/products/configure/screw-in%20cartridge%20valves/details/02-173306","02-173306")</f>
        <v>02-173306</v>
      </c>
      <c r="B1005" s="8" t="s">
        <v>976</v>
      </c>
    </row>
    <row r="1006" spans="1:2" x14ac:dyDescent="0.3">
      <c r="A1006" s="5" t="str">
        <f>HYPERLINK("http://www.eatonpowersource.com/products/configure/screw-in%20cartridge%20valves/details/02-174614","02-174614")</f>
        <v>02-174614</v>
      </c>
      <c r="B1006" s="6" t="s">
        <v>977</v>
      </c>
    </row>
    <row r="1007" spans="1:2" x14ac:dyDescent="0.3">
      <c r="A1007" s="7" t="str">
        <f>HYPERLINK("http://www.eatonpowersource.com/products/configure/screw-in%20cartridge%20valves/details/02-174615","02-174615")</f>
        <v>02-174615</v>
      </c>
      <c r="B1007" s="8" t="s">
        <v>978</v>
      </c>
    </row>
    <row r="1008" spans="1:2" x14ac:dyDescent="0.3">
      <c r="A1008" s="5" t="str">
        <f>HYPERLINK("http://www.eatonpowersource.com/products/configure/screw-in%20cartridge%20valves/details/02-174620","02-174620")</f>
        <v>02-174620</v>
      </c>
      <c r="B1008" s="6" t="s">
        <v>979</v>
      </c>
    </row>
    <row r="1009" spans="1:2" x14ac:dyDescent="0.3">
      <c r="A1009" s="7" t="str">
        <f>HYPERLINK("http://www.eatonpowersource.com/products/configure/screw-in%20cartridge%20valves/details/02-174622","02-174622")</f>
        <v>02-174622</v>
      </c>
      <c r="B1009" s="8" t="s">
        <v>980</v>
      </c>
    </row>
    <row r="1010" spans="1:2" x14ac:dyDescent="0.3">
      <c r="A1010" s="5" t="str">
        <f>HYPERLINK("http://www.eatonpowersource.com/products/configure/screw-in%20cartridge%20valves/details/02-174626","02-174626")</f>
        <v>02-174626</v>
      </c>
      <c r="B1010" s="6" t="s">
        <v>981</v>
      </c>
    </row>
    <row r="1011" spans="1:2" x14ac:dyDescent="0.3">
      <c r="A1011" s="7" t="str">
        <f>HYPERLINK("http://www.eatonpowersource.com/products/configure/screw-in%20cartridge%20valves/details/02-176439","02-176439")</f>
        <v>02-176439</v>
      </c>
      <c r="B1011" s="8" t="s">
        <v>982</v>
      </c>
    </row>
    <row r="1012" spans="1:2" x14ac:dyDescent="0.3">
      <c r="A1012" s="5" t="str">
        <f>HYPERLINK("http://www.eatonpowersource.com/products/configure/screw-in%20cartridge%20valves/details/02-180002","02-180002")</f>
        <v>02-180002</v>
      </c>
      <c r="B1012" s="6" t="s">
        <v>983</v>
      </c>
    </row>
    <row r="1013" spans="1:2" x14ac:dyDescent="0.3">
      <c r="A1013" s="7" t="str">
        <f>HYPERLINK("http://www.eatonpowersource.com/products/configure/screw-in%20cartridge%20valves/details/02-180096","02-180096")</f>
        <v>02-180096</v>
      </c>
      <c r="B1013" s="8" t="s">
        <v>984</v>
      </c>
    </row>
    <row r="1014" spans="1:2" x14ac:dyDescent="0.3">
      <c r="A1014" s="5" t="str">
        <f>HYPERLINK("http://www.eatonpowersource.com/products/configure/screw-in%20cartridge%20valves/details/02-181219","02-181219")</f>
        <v>02-181219</v>
      </c>
      <c r="B1014" s="6" t="s">
        <v>985</v>
      </c>
    </row>
    <row r="1015" spans="1:2" x14ac:dyDescent="0.3">
      <c r="A1015" s="7" t="str">
        <f>HYPERLINK("http://www.eatonpowersource.com/products/configure/screw-in%20cartridge%20valves/details/02-181294","02-181294")</f>
        <v>02-181294</v>
      </c>
      <c r="B1015" s="8" t="s">
        <v>986</v>
      </c>
    </row>
    <row r="1016" spans="1:2" x14ac:dyDescent="0.3">
      <c r="A1016" s="5" t="str">
        <f>HYPERLINK("http://www.eatonpowersource.com/products/configure/screw-in%20cartridge%20valves/details/02-181364","02-181364")</f>
        <v>02-181364</v>
      </c>
      <c r="B1016" s="6" t="s">
        <v>987</v>
      </c>
    </row>
    <row r="1017" spans="1:2" x14ac:dyDescent="0.3">
      <c r="A1017" s="7" t="str">
        <f>HYPERLINK("http://www.eatonpowersource.com/products/configure/screw-in%20cartridge%20valves/details/02-181656","02-181656")</f>
        <v>02-181656</v>
      </c>
      <c r="B1017" s="8" t="s">
        <v>988</v>
      </c>
    </row>
    <row r="1018" spans="1:2" x14ac:dyDescent="0.3">
      <c r="A1018" s="5" t="str">
        <f>HYPERLINK("http://www.eatonpowersource.com/products/configure/screw-in%20cartridge%20valves/details/02-182301","02-182301")</f>
        <v>02-182301</v>
      </c>
      <c r="B1018" s="6" t="s">
        <v>989</v>
      </c>
    </row>
    <row r="1019" spans="1:2" x14ac:dyDescent="0.3">
      <c r="A1019" s="7" t="str">
        <f>HYPERLINK("http://www.eatonpowersource.com/products/configure/screw-in%20cartridge%20valves/details/02-182346","02-182346")</f>
        <v>02-182346</v>
      </c>
      <c r="B1019" s="8" t="s">
        <v>990</v>
      </c>
    </row>
    <row r="1020" spans="1:2" x14ac:dyDescent="0.3">
      <c r="A1020" s="5" t="str">
        <f>HYPERLINK("http://www.eatonpowersource.com/products/configure/screw-in%20cartridge%20valves/details/02-183101","02-183101")</f>
        <v>02-183101</v>
      </c>
      <c r="B1020" s="6" t="s">
        <v>991</v>
      </c>
    </row>
    <row r="1021" spans="1:2" x14ac:dyDescent="0.3">
      <c r="A1021" s="7" t="str">
        <f>HYPERLINK("http://www.eatonpowersource.com/products/configure/screw-in%20cartridge%20valves/details/02-183259","02-183259")</f>
        <v>02-183259</v>
      </c>
      <c r="B1021" s="8" t="s">
        <v>992</v>
      </c>
    </row>
    <row r="1022" spans="1:2" x14ac:dyDescent="0.3">
      <c r="A1022" s="5" t="str">
        <f>HYPERLINK("http://www.eatonpowersource.com/products/configure/screw-in%20cartridge%20valves/details/02-183270","02-183270")</f>
        <v>02-183270</v>
      </c>
      <c r="B1022" s="6" t="s">
        <v>993</v>
      </c>
    </row>
    <row r="1023" spans="1:2" x14ac:dyDescent="0.3">
      <c r="A1023" s="7" t="str">
        <f>HYPERLINK("http://www.eatonpowersource.com/products/configure/screw-in%20cartridge%20valves/details/02-184577","02-184577")</f>
        <v>02-184577</v>
      </c>
      <c r="B1023" s="8" t="s">
        <v>994</v>
      </c>
    </row>
    <row r="1024" spans="1:2" x14ac:dyDescent="0.3">
      <c r="A1024" s="5" t="str">
        <f>HYPERLINK("http://www.eatonpowersource.com/products/configure/screw-in%20cartridge%20valves/details/02-198359","02-198359")</f>
        <v>02-198359</v>
      </c>
      <c r="B1024" s="6" t="s">
        <v>995</v>
      </c>
    </row>
    <row r="1025" spans="1:2" x14ac:dyDescent="0.3">
      <c r="A1025" s="7" t="str">
        <f>HYPERLINK("http://www.eatonpowersource.com/products/configure/screw-in%20cartridge%20valves/details/307aa00108a","307AA00108A")</f>
        <v>307AA00108A</v>
      </c>
      <c r="B1025" s="8" t="s">
        <v>996</v>
      </c>
    </row>
    <row r="1026" spans="1:2" x14ac:dyDescent="0.3">
      <c r="A1026" s="5" t="str">
        <f>HYPERLINK("http://www.eatonpowersource.com/products/configure/screw-in%20cartridge%20valves/details/307aa00237a","307AA00237A")</f>
        <v>307AA00237A</v>
      </c>
      <c r="B1026" s="6" t="s">
        <v>997</v>
      </c>
    </row>
    <row r="1027" spans="1:2" x14ac:dyDescent="0.3">
      <c r="A1027" s="7" t="str">
        <f>HYPERLINK("http://www.eatonpowersource.com/products/configure/screw-in%20cartridge%20valves/details/307aa00635a","307AA00635A")</f>
        <v>307AA00635A</v>
      </c>
      <c r="B1027" s="8" t="s">
        <v>998</v>
      </c>
    </row>
    <row r="1028" spans="1:2" x14ac:dyDescent="0.3">
      <c r="A1028" s="5" t="str">
        <f>HYPERLINK("http://www.eatonpowersource.com/products/configure/screw-in%20cartridge%20valves/details/307aa00771a","307AA00771A")</f>
        <v>307AA00771A</v>
      </c>
      <c r="B1028" s="6" t="s">
        <v>999</v>
      </c>
    </row>
    <row r="1029" spans="1:2" x14ac:dyDescent="0.3">
      <c r="A1029" s="7" t="str">
        <f>HYPERLINK("http://www.eatonpowersource.com/products/configure/screw-in%20cartridge%20valves/details/402aa00003a","402AA00003A")</f>
        <v>402AA00003A</v>
      </c>
      <c r="B1029" s="8" t="s">
        <v>1000</v>
      </c>
    </row>
    <row r="1030" spans="1:2" x14ac:dyDescent="0.3">
      <c r="A1030" s="5" t="str">
        <f>HYPERLINK("http://www.eatonpowersource.com/products/configure/screw-in%20cartridge%20valves/details/402aa00004a","402AA00004A")</f>
        <v>402AA00004A</v>
      </c>
      <c r="B1030" s="6" t="s">
        <v>1001</v>
      </c>
    </row>
    <row r="1031" spans="1:2" x14ac:dyDescent="0.3">
      <c r="A1031" s="7" t="str">
        <f>HYPERLINK("http://www.eatonpowersource.com/products/configure/screw-in%20cartridge%20valves/details/402aa00005a","402AA00005A")</f>
        <v>402AA00005A</v>
      </c>
      <c r="B1031" s="8" t="s">
        <v>1002</v>
      </c>
    </row>
    <row r="1032" spans="1:2" x14ac:dyDescent="0.3">
      <c r="A1032" s="5" t="str">
        <f>HYPERLINK("http://www.eatonpowersource.com/products/configure/screw-in%20cartridge%20valves/details/402aa00009a","402AA00009A")</f>
        <v>402AA00009A</v>
      </c>
      <c r="B1032" s="6" t="s">
        <v>1003</v>
      </c>
    </row>
    <row r="1033" spans="1:2" x14ac:dyDescent="0.3">
      <c r="A1033" s="7" t="str">
        <f>HYPERLINK("http://www.eatonpowersource.com/products/configure/screw-in%20cartridge%20valves/details/402aa00011a","402AA00011A")</f>
        <v>402AA00011A</v>
      </c>
      <c r="B1033" s="8" t="s">
        <v>1004</v>
      </c>
    </row>
    <row r="1034" spans="1:2" x14ac:dyDescent="0.3">
      <c r="A1034" s="5" t="str">
        <f>HYPERLINK("http://www.eatonpowersource.com/products/configure/screw-in%20cartridge%20valves/details/402aa00012a","402AA00012A")</f>
        <v>402AA00012A</v>
      </c>
      <c r="B1034" s="6" t="s">
        <v>1005</v>
      </c>
    </row>
    <row r="1035" spans="1:2" x14ac:dyDescent="0.3">
      <c r="A1035" s="7" t="str">
        <f>HYPERLINK("http://www.eatonpowersource.com/products/configure/screw-in%20cartridge%20valves/details/402aa00014a","402AA00014A")</f>
        <v>402AA00014A</v>
      </c>
      <c r="B1035" s="8" t="s">
        <v>1006</v>
      </c>
    </row>
    <row r="1036" spans="1:2" x14ac:dyDescent="0.3">
      <c r="A1036" s="5" t="str">
        <f>HYPERLINK("http://www.eatonpowersource.com/products/configure/screw-in%20cartridge%20valves/details/402aa00015a","402AA00015A")</f>
        <v>402AA00015A</v>
      </c>
      <c r="B1036" s="6" t="s">
        <v>1007</v>
      </c>
    </row>
    <row r="1037" spans="1:2" x14ac:dyDescent="0.3">
      <c r="A1037" s="7" t="str">
        <f>HYPERLINK("http://www.eatonpowersource.com/products/configure/screw-in%20cartridge%20valves/details/402aa00018a","402AA00018A")</f>
        <v>402AA00018A</v>
      </c>
      <c r="B1037" s="8" t="s">
        <v>1008</v>
      </c>
    </row>
    <row r="1038" spans="1:2" x14ac:dyDescent="0.3">
      <c r="A1038" s="5" t="str">
        <f>HYPERLINK("http://www.eatonpowersource.com/products/configure/screw-in%20cartridge%20valves/details/402aa00019a","402AA00019A")</f>
        <v>402AA00019A</v>
      </c>
      <c r="B1038" s="6" t="s">
        <v>1009</v>
      </c>
    </row>
    <row r="1039" spans="1:2" x14ac:dyDescent="0.3">
      <c r="A1039" s="7" t="str">
        <f>HYPERLINK("http://www.eatonpowersource.com/products/configure/screw-in%20cartridge%20valves/details/402aa00029a","402AA00029A")</f>
        <v>402AA00029A</v>
      </c>
      <c r="B1039" s="8" t="s">
        <v>1010</v>
      </c>
    </row>
    <row r="1040" spans="1:2" x14ac:dyDescent="0.3">
      <c r="A1040" s="5" t="str">
        <f>HYPERLINK("http://www.eatonpowersource.com/products/configure/screw-in%20cartridge%20valves/details/402aa00030a","402AA00030A")</f>
        <v>402AA00030A</v>
      </c>
      <c r="B1040" s="6" t="s">
        <v>1011</v>
      </c>
    </row>
    <row r="1041" spans="1:2" x14ac:dyDescent="0.3">
      <c r="A1041" s="7" t="str">
        <f>HYPERLINK("http://www.eatonpowersource.com/products/configure/screw-in%20cartridge%20valves/details/402aa00031a","402AA00031A")</f>
        <v>402AA00031A</v>
      </c>
      <c r="B1041" s="8" t="s">
        <v>1012</v>
      </c>
    </row>
    <row r="1042" spans="1:2" x14ac:dyDescent="0.3">
      <c r="A1042" s="5" t="str">
        <f>HYPERLINK("http://www.eatonpowersource.com/products/configure/screw-in%20cartridge%20valves/details/402aa00033a","402AA00033A")</f>
        <v>402AA00033A</v>
      </c>
      <c r="B1042" s="6" t="s">
        <v>1013</v>
      </c>
    </row>
    <row r="1043" spans="1:2" x14ac:dyDescent="0.3">
      <c r="A1043" s="7" t="str">
        <f>HYPERLINK("http://www.eatonpowersource.com/products/configure/screw-in%20cartridge%20valves/details/402aa00035a","402AA00035A")</f>
        <v>402AA00035A</v>
      </c>
      <c r="B1043" s="8" t="s">
        <v>1014</v>
      </c>
    </row>
    <row r="1044" spans="1:2" x14ac:dyDescent="0.3">
      <c r="A1044" s="5" t="str">
        <f>HYPERLINK("http://www.eatonpowersource.com/products/configure/screw-in%20cartridge%20valves/details/402aa00039a","402AA00039A")</f>
        <v>402AA00039A</v>
      </c>
      <c r="B1044" s="6" t="s">
        <v>1015</v>
      </c>
    </row>
    <row r="1045" spans="1:2" x14ac:dyDescent="0.3">
      <c r="A1045" s="7" t="str">
        <f>HYPERLINK("http://www.eatonpowersource.com/products/configure/screw-in%20cartridge%20valves/details/402aa00042a","402AA00042A")</f>
        <v>402AA00042A</v>
      </c>
      <c r="B1045" s="8" t="s">
        <v>1016</v>
      </c>
    </row>
    <row r="1046" spans="1:2" x14ac:dyDescent="0.3">
      <c r="A1046" s="5" t="str">
        <f>HYPERLINK("http://www.eatonpowersource.com/products/configure/screw-in%20cartridge%20valves/details/402aa00069a","402AA00069A")</f>
        <v>402AA00069A</v>
      </c>
      <c r="B1046" s="6" t="s">
        <v>1017</v>
      </c>
    </row>
    <row r="1047" spans="1:2" x14ac:dyDescent="0.3">
      <c r="A1047" s="7" t="str">
        <f>HYPERLINK("http://www.eatonpowersource.com/products/configure/screw-in%20cartridge%20valves/details/402aa00090a","402AA00090A")</f>
        <v>402AA00090A</v>
      </c>
      <c r="B1047" s="8" t="s">
        <v>1018</v>
      </c>
    </row>
    <row r="1048" spans="1:2" x14ac:dyDescent="0.3">
      <c r="A1048" s="5" t="str">
        <f>HYPERLINK("http://www.eatonpowersource.com/products/configure/screw-in%20cartridge%20valves/details/402aa00122a","402AA00122A")</f>
        <v>402AA00122A</v>
      </c>
      <c r="B1048" s="6" t="s">
        <v>1019</v>
      </c>
    </row>
    <row r="1049" spans="1:2" x14ac:dyDescent="0.3">
      <c r="A1049" s="7" t="str">
        <f>HYPERLINK("http://www.eatonpowersource.com/products/configure/screw-in%20cartridge%20valves/details/402aa00151a","402AA00151A")</f>
        <v>402AA00151A</v>
      </c>
      <c r="B1049" s="8" t="s">
        <v>1020</v>
      </c>
    </row>
    <row r="1050" spans="1:2" x14ac:dyDescent="0.3">
      <c r="A1050" s="5" t="str">
        <f>HYPERLINK("http://www.eatonpowersource.com/products/configure/screw-in%20cartridge%20valves/details/402aa00153a","402AA00153A")</f>
        <v>402AA00153A</v>
      </c>
      <c r="B1050" s="6" t="s">
        <v>1021</v>
      </c>
    </row>
    <row r="1051" spans="1:2" x14ac:dyDescent="0.3">
      <c r="A1051" s="7" t="str">
        <f>HYPERLINK("http://www.eatonpowersource.com/products/configure/screw-in%20cartridge%20valves/details/402aa00158a","402AA00158A")</f>
        <v>402AA00158A</v>
      </c>
      <c r="B1051" s="8" t="s">
        <v>1022</v>
      </c>
    </row>
    <row r="1052" spans="1:2" x14ac:dyDescent="0.3">
      <c r="A1052" s="5" t="str">
        <f>HYPERLINK("http://www.eatonpowersource.com/products/configure/screw-in%20cartridge%20valves/details/402aa00206a","402AA00206A")</f>
        <v>402AA00206A</v>
      </c>
      <c r="B1052" s="6" t="s">
        <v>1023</v>
      </c>
    </row>
    <row r="1053" spans="1:2" x14ac:dyDescent="0.3">
      <c r="A1053" s="7" t="str">
        <f>HYPERLINK("http://www.eatonpowersource.com/products/configure/screw-in%20cartridge%20valves/details/402aa00219a","402AA00219A")</f>
        <v>402AA00219A</v>
      </c>
      <c r="B1053" s="8" t="s">
        <v>1024</v>
      </c>
    </row>
    <row r="1054" spans="1:2" x14ac:dyDescent="0.3">
      <c r="A1054" s="5" t="str">
        <f>HYPERLINK("http://www.eatonpowersource.com/products/configure/screw-in%20cartridge%20valves/details/402aa00265a","402AA00265A")</f>
        <v>402AA00265A</v>
      </c>
      <c r="B1054" s="6" t="s">
        <v>1025</v>
      </c>
    </row>
    <row r="1055" spans="1:2" x14ac:dyDescent="0.3">
      <c r="A1055" s="7" t="str">
        <f>HYPERLINK("http://www.eatonpowersource.com/products/configure/screw-in%20cartridge%20valves/details/402aa00266a","402AA00266A")</f>
        <v>402AA00266A</v>
      </c>
      <c r="B1055" s="8" t="s">
        <v>1026</v>
      </c>
    </row>
    <row r="1056" spans="1:2" x14ac:dyDescent="0.3">
      <c r="A1056" s="5" t="str">
        <f>HYPERLINK("http://www.eatonpowersource.com/products/configure/screw-in%20cartridge%20valves/details/404aa00168a","404AA00168A")</f>
        <v>404AA00168A</v>
      </c>
      <c r="B1056" s="6" t="s">
        <v>1027</v>
      </c>
    </row>
    <row r="1057" spans="1:2" x14ac:dyDescent="0.3">
      <c r="A1057" s="7" t="str">
        <f>HYPERLINK("http://www.eatonpowersource.com/products/configure/screw-in%20cartridge%20valves/details/404aa00189a","404AA00189A")</f>
        <v>404AA00189A</v>
      </c>
      <c r="B1057" s="8" t="s">
        <v>1028</v>
      </c>
    </row>
    <row r="1058" spans="1:2" x14ac:dyDescent="0.3">
      <c r="A1058" s="5" t="str">
        <f>HYPERLINK("http://www.eatonpowersource.com/products/configure/screw-in%20cartridge%20valves/details/404aa00198a","404AA00198A")</f>
        <v>404AA00198A</v>
      </c>
      <c r="B1058" s="6" t="s">
        <v>1029</v>
      </c>
    </row>
    <row r="1059" spans="1:2" x14ac:dyDescent="0.3">
      <c r="A1059" s="7" t="str">
        <f>HYPERLINK("http://www.eatonpowersource.com/products/configure/screw-in%20cartridge%20valves/details/404aa00206a","404AA00206A")</f>
        <v>404AA00206A</v>
      </c>
      <c r="B1059" s="8" t="s">
        <v>1030</v>
      </c>
    </row>
    <row r="1060" spans="1:2" x14ac:dyDescent="0.3">
      <c r="A1060" s="5" t="str">
        <f>HYPERLINK("http://www.eatonpowersource.com/products/configure/screw-in%20cartridge%20valves/details/407aa00024a","407AA00024A")</f>
        <v>407AA00024A</v>
      </c>
      <c r="B1060" s="6" t="s">
        <v>1031</v>
      </c>
    </row>
    <row r="1061" spans="1:2" x14ac:dyDescent="0.3">
      <c r="A1061" s="7" t="str">
        <f>HYPERLINK("http://www.eatonpowersource.com/products/configure/screw-in%20cartridge%20valves/details/407aa00028a","407AA00028A")</f>
        <v>407AA00028A</v>
      </c>
      <c r="B1061" s="8" t="s">
        <v>1032</v>
      </c>
    </row>
    <row r="1062" spans="1:2" x14ac:dyDescent="0.3">
      <c r="A1062" s="5" t="str">
        <f>HYPERLINK("http://www.eatonpowersource.com/products/configure/screw-in%20cartridge%20valves/details/407aa00032a","407AA00032A")</f>
        <v>407AA00032A</v>
      </c>
      <c r="B1062" s="6" t="s">
        <v>1033</v>
      </c>
    </row>
    <row r="1063" spans="1:2" x14ac:dyDescent="0.3">
      <c r="A1063" s="7" t="str">
        <f>HYPERLINK("http://www.eatonpowersource.com/products/configure/screw-in%20cartridge%20valves/details/407aa00033a","407AA00033A")</f>
        <v>407AA00033A</v>
      </c>
      <c r="B1063" s="8" t="s">
        <v>1034</v>
      </c>
    </row>
    <row r="1064" spans="1:2" x14ac:dyDescent="0.3">
      <c r="A1064" s="5" t="str">
        <f>HYPERLINK("http://www.eatonpowersource.com/products/configure/screw-in%20cartridge%20valves/details/407aa00034a","407AA00034A")</f>
        <v>407AA00034A</v>
      </c>
      <c r="B1064" s="6" t="s">
        <v>1035</v>
      </c>
    </row>
    <row r="1065" spans="1:2" x14ac:dyDescent="0.3">
      <c r="A1065" s="7" t="str">
        <f>HYPERLINK("http://www.eatonpowersource.com/products/configure/screw-in%20cartridge%20valves/details/407aa00035a","407AA00035A")</f>
        <v>407AA00035A</v>
      </c>
      <c r="B1065" s="8" t="s">
        <v>1036</v>
      </c>
    </row>
    <row r="1066" spans="1:2" x14ac:dyDescent="0.3">
      <c r="A1066" s="5" t="str">
        <f>HYPERLINK("http://www.eatonpowersource.com/products/configure/screw-in%20cartridge%20valves/details/407aa00036a","407AA00036A")</f>
        <v>407AA00036A</v>
      </c>
      <c r="B1066" s="6" t="s">
        <v>1037</v>
      </c>
    </row>
    <row r="1067" spans="1:2" x14ac:dyDescent="0.3">
      <c r="A1067" s="7" t="str">
        <f>HYPERLINK("http://www.eatonpowersource.com/products/configure/screw-in%20cartridge%20valves/details/407aa00037a","407AA00037A")</f>
        <v>407AA00037A</v>
      </c>
      <c r="B1067" s="8" t="s">
        <v>1038</v>
      </c>
    </row>
    <row r="1068" spans="1:2" x14ac:dyDescent="0.3">
      <c r="A1068" s="5" t="str">
        <f>HYPERLINK("http://www.eatonpowersource.com/products/configure/screw-in%20cartridge%20valves/details/407aa00042a","407AA00042A")</f>
        <v>407AA00042A</v>
      </c>
      <c r="B1068" s="6" t="s">
        <v>1039</v>
      </c>
    </row>
    <row r="1069" spans="1:2" x14ac:dyDescent="0.3">
      <c r="A1069" s="7" t="str">
        <f>HYPERLINK("http://www.eatonpowersource.com/products/configure/screw-in%20cartridge%20valves/details/407aa00047a","407AA00047A")</f>
        <v>407AA00047A</v>
      </c>
      <c r="B1069" s="8" t="s">
        <v>1040</v>
      </c>
    </row>
    <row r="1070" spans="1:2" x14ac:dyDescent="0.3">
      <c r="A1070" s="5" t="str">
        <f>HYPERLINK("http://www.eatonpowersource.com/products/configure/screw-in%20cartridge%20valves/details/407aa00104a","407AA00104A")</f>
        <v>407AA00104A</v>
      </c>
      <c r="B1070" s="6" t="s">
        <v>1041</v>
      </c>
    </row>
    <row r="1071" spans="1:2" x14ac:dyDescent="0.3">
      <c r="A1071" s="7" t="str">
        <f>HYPERLINK("http://www.eatonpowersource.com/products/configure/screw-in%20cartridge%20valves/details/407aa00300a","407AA00300A")</f>
        <v>407AA00300A</v>
      </c>
      <c r="B1071" s="8" t="s">
        <v>1042</v>
      </c>
    </row>
    <row r="1072" spans="1:2" x14ac:dyDescent="0.3">
      <c r="A1072" s="5" t="str">
        <f>HYPERLINK("http://www.eatonpowersource.com/products/configure/screw-in%20cartridge%20valves/details/407aa00303a","407AA00303A")</f>
        <v>407AA00303A</v>
      </c>
      <c r="B1072" s="6" t="s">
        <v>1043</v>
      </c>
    </row>
    <row r="1073" spans="1:2" x14ac:dyDescent="0.3">
      <c r="A1073" s="7" t="str">
        <f>HYPERLINK("http://www.eatonpowersource.com/products/configure/screw-in%20cartridge%20valves/details/407aa00304a","407AA00304A")</f>
        <v>407AA00304A</v>
      </c>
      <c r="B1073" s="8" t="s">
        <v>1044</v>
      </c>
    </row>
    <row r="1074" spans="1:2" x14ac:dyDescent="0.3">
      <c r="A1074" s="5" t="str">
        <f>HYPERLINK("http://www.eatonpowersource.com/products/configure/screw-in%20cartridge%20valves/details/407aa00306a","407AA00306A")</f>
        <v>407AA00306A</v>
      </c>
      <c r="B1074" s="6" t="s">
        <v>1045</v>
      </c>
    </row>
    <row r="1075" spans="1:2" x14ac:dyDescent="0.3">
      <c r="A1075" s="7" t="str">
        <f>HYPERLINK("http://www.eatonpowersource.com/products/configure/screw-in%20cartridge%20valves/details/407aa00307a","407AA00307A")</f>
        <v>407AA00307A</v>
      </c>
      <c r="B1075" s="8" t="s">
        <v>1046</v>
      </c>
    </row>
    <row r="1076" spans="1:2" x14ac:dyDescent="0.3">
      <c r="A1076" s="5" t="str">
        <f>HYPERLINK("http://www.eatonpowersource.com/products/configure/screw-in%20cartridge%20valves/details/407aa00308a","407AA00308A")</f>
        <v>407AA00308A</v>
      </c>
      <c r="B1076" s="6" t="s">
        <v>1047</v>
      </c>
    </row>
    <row r="1077" spans="1:2" x14ac:dyDescent="0.3">
      <c r="A1077" s="7" t="str">
        <f>HYPERLINK("http://www.eatonpowersource.com/products/configure/screw-in%20cartridge%20valves/details/407aa00385a","407AA00385A")</f>
        <v>407AA00385A</v>
      </c>
      <c r="B1077" s="8" t="s">
        <v>1048</v>
      </c>
    </row>
    <row r="1078" spans="1:2" x14ac:dyDescent="0.3">
      <c r="A1078" s="5" t="str">
        <f>HYPERLINK("http://www.eatonpowersource.com/products/configure/screw-in%20cartridge%20valves/details/407aa00386a","407AA00386A")</f>
        <v>407AA00386A</v>
      </c>
      <c r="B1078" s="6" t="s">
        <v>1049</v>
      </c>
    </row>
    <row r="1079" spans="1:2" x14ac:dyDescent="0.3">
      <c r="A1079" s="7" t="str">
        <f>HYPERLINK("http://www.eatonpowersource.com/products/configure/screw-in%20cartridge%20valves/details/407aa00429a","407AA00429A")</f>
        <v>407AA00429A</v>
      </c>
      <c r="B1079" s="8" t="s">
        <v>1050</v>
      </c>
    </row>
    <row r="1080" spans="1:2" x14ac:dyDescent="0.3">
      <c r="A1080" s="5" t="str">
        <f>HYPERLINK("http://www.eatonpowersource.com/products/configure/screw-in%20cartridge%20valves/details/407aa01233a","407AA01233A")</f>
        <v>407AA01233A</v>
      </c>
      <c r="B1080" s="6" t="s">
        <v>1051</v>
      </c>
    </row>
    <row r="1081" spans="1:2" x14ac:dyDescent="0.3">
      <c r="A1081" s="7" t="str">
        <f>HYPERLINK("http://www.eatonpowersource.com/products/configure/screw-in%20cartridge%20valves/details/407aa01236a","407AA01236A")</f>
        <v>407AA01236A</v>
      </c>
      <c r="B1081" s="8" t="s">
        <v>1052</v>
      </c>
    </row>
    <row r="1082" spans="1:2" x14ac:dyDescent="0.3">
      <c r="A1082" s="5" t="str">
        <f>HYPERLINK("http://www.eatonpowersource.com/products/configure/screw-in%20cartridge%20valves/details/407aa01241a","407AA01241A")</f>
        <v>407AA01241A</v>
      </c>
      <c r="B1082" s="6" t="s">
        <v>1053</v>
      </c>
    </row>
    <row r="1083" spans="1:2" x14ac:dyDescent="0.3">
      <c r="A1083" s="7" t="str">
        <f>HYPERLINK("http://www.eatonpowersource.com/products/configure/screw-in%20cartridge%20valves/details/407aa01288a","407AA01288A")</f>
        <v>407AA01288A</v>
      </c>
      <c r="B1083" s="8" t="s">
        <v>1054</v>
      </c>
    </row>
    <row r="1084" spans="1:2" x14ac:dyDescent="0.3">
      <c r="A1084" s="5" t="str">
        <f>HYPERLINK("http://www.eatonpowersource.com/products/configure/screw-in%20cartridge%20valves/details/407aa01669a","407AA01669A")</f>
        <v>407AA01669A</v>
      </c>
      <c r="B1084" s="6" t="s">
        <v>1055</v>
      </c>
    </row>
    <row r="1085" spans="1:2" x14ac:dyDescent="0.3">
      <c r="A1085" s="7" t="str">
        <f>HYPERLINK("http://www.eatonpowersource.com/products/configure/screw-in%20cartridge%20valves/details/407aa01671a","407AA01671A")</f>
        <v>407AA01671A</v>
      </c>
      <c r="B1085" s="8" t="s">
        <v>1056</v>
      </c>
    </row>
    <row r="1086" spans="1:2" x14ac:dyDescent="0.3">
      <c r="A1086" s="5" t="str">
        <f>HYPERLINK("http://www.eatonpowersource.com/products/configure/screw-in%20cartridge%20valves/details/407aa01679a","407AA01679A")</f>
        <v>407AA01679A</v>
      </c>
      <c r="B1086" s="6" t="s">
        <v>1057</v>
      </c>
    </row>
    <row r="1087" spans="1:2" x14ac:dyDescent="0.3">
      <c r="A1087" s="7" t="str">
        <f>HYPERLINK("http://www.eatonpowersource.com/products/configure/screw-in%20cartridge%20valves/details/407aa01782a","407AA01782A")</f>
        <v>407AA01782A</v>
      </c>
      <c r="B1087" s="8" t="s">
        <v>1058</v>
      </c>
    </row>
    <row r="1088" spans="1:2" x14ac:dyDescent="0.3">
      <c r="A1088" s="5" t="str">
        <f>HYPERLINK("http://www.eatonpowersource.com/products/configure/screw-in%20cartridge%20valves/details/407aa02005a","407AA02005A")</f>
        <v>407AA02005A</v>
      </c>
      <c r="B1088" s="6" t="s">
        <v>1059</v>
      </c>
    </row>
    <row r="1089" spans="1:2" x14ac:dyDescent="0.3">
      <c r="A1089" s="7" t="str">
        <f>HYPERLINK("http://www.eatonpowersource.com/products/configure/screw-in%20cartridge%20valves/details/407aa03110a","407AA03110A")</f>
        <v>407AA03110A</v>
      </c>
      <c r="B1089" s="8" t="s">
        <v>1060</v>
      </c>
    </row>
    <row r="1090" spans="1:2" x14ac:dyDescent="0.3">
      <c r="A1090" s="5" t="str">
        <f>HYPERLINK("http://www.eatonpowersource.com/products/configure/screw-in%20cartridge%20valves/details/407aa03203a","407AA03203A")</f>
        <v>407AA03203A</v>
      </c>
      <c r="B1090" s="6" t="s">
        <v>1061</v>
      </c>
    </row>
    <row r="1091" spans="1:2" x14ac:dyDescent="0.3">
      <c r="A1091" s="7" t="str">
        <f>HYPERLINK("http://www.eatonpowersource.com/products/configure/screw-in%20cartridge%20valves/details/407aa03230a","407AA03230A")</f>
        <v>407AA03230A</v>
      </c>
      <c r="B1091" s="8" t="s">
        <v>1062</v>
      </c>
    </row>
    <row r="1092" spans="1:2" x14ac:dyDescent="0.3">
      <c r="A1092" s="5" t="str">
        <f>HYPERLINK("http://www.eatonpowersource.com/products/configure/screw-in%20cartridge%20valves/details/407aa03241a","407AA03241A")</f>
        <v>407AA03241A</v>
      </c>
      <c r="B1092" s="6" t="s">
        <v>1063</v>
      </c>
    </row>
    <row r="1093" spans="1:2" x14ac:dyDescent="0.3">
      <c r="A1093" s="7" t="str">
        <f>HYPERLINK("http://www.eatonpowersource.com/products/configure/screw-in%20cartridge%20valves/details/410aa00039a","410AA00039A")</f>
        <v>410AA00039A</v>
      </c>
      <c r="B1093" s="8" t="s">
        <v>1064</v>
      </c>
    </row>
    <row r="1094" spans="1:2" x14ac:dyDescent="0.3">
      <c r="A1094" s="5" t="str">
        <f>HYPERLINK("http://www.eatonpowersource.com/products/configure/screw-in%20cartridge%20valves/details/410aa00201a","410AA00201A")</f>
        <v>410AA00201A</v>
      </c>
      <c r="B1094" s="6" t="s">
        <v>1065</v>
      </c>
    </row>
    <row r="1095" spans="1:2" x14ac:dyDescent="0.3">
      <c r="A1095" s="7" t="str">
        <f>HYPERLINK("http://www.eatonpowersource.com/products/configure/screw-in%20cartridge%20valves/details/565578","565578")</f>
        <v>565578</v>
      </c>
      <c r="B1095" s="8" t="s">
        <v>1066</v>
      </c>
    </row>
    <row r="1096" spans="1:2" x14ac:dyDescent="0.3">
      <c r="A1096" s="5" t="str">
        <f>HYPERLINK("http://www.eatonpowersource.com/products/configure/screw-in%20cartridge%20valves/details/565579","565579")</f>
        <v>565579</v>
      </c>
      <c r="B1096" s="6" t="s">
        <v>1067</v>
      </c>
    </row>
    <row r="1097" spans="1:2" x14ac:dyDescent="0.3">
      <c r="A1097" s="7" t="str">
        <f>HYPERLINK("http://www.eatonpowersource.com/products/configure/screw-in%20cartridge%20valves/details/565581","565581")</f>
        <v>565581</v>
      </c>
      <c r="B1097" s="8" t="s">
        <v>1068</v>
      </c>
    </row>
    <row r="1098" spans="1:2" x14ac:dyDescent="0.3">
      <c r="A1098" s="5" t="str">
        <f>HYPERLINK("http://www.eatonpowersource.com/products/configure/screw-in%20cartridge%20valves/details/565582","565582")</f>
        <v>565582</v>
      </c>
      <c r="B1098" s="6" t="s">
        <v>1069</v>
      </c>
    </row>
    <row r="1099" spans="1:2" x14ac:dyDescent="0.3">
      <c r="A1099" s="7" t="str">
        <f>HYPERLINK("http://www.eatonpowersource.com/products/configure/screw-in%20cartridge%20valves/details/565583","565583")</f>
        <v>565583</v>
      </c>
      <c r="B1099" s="8" t="s">
        <v>1070</v>
      </c>
    </row>
    <row r="1100" spans="1:2" x14ac:dyDescent="0.3">
      <c r="A1100" s="5" t="str">
        <f>HYPERLINK("http://www.eatonpowersource.com/products/configure/screw-in%20cartridge%20valves/details/565784","565784")</f>
        <v>565784</v>
      </c>
      <c r="B1100" s="6" t="s">
        <v>1071</v>
      </c>
    </row>
    <row r="1101" spans="1:2" x14ac:dyDescent="0.3">
      <c r="A1101" s="7" t="str">
        <f>HYPERLINK("http://www.eatonpowersource.com/products/configure/screw-in%20cartridge%20valves/details/565785","565785")</f>
        <v>565785</v>
      </c>
      <c r="B1101" s="8" t="s">
        <v>1072</v>
      </c>
    </row>
    <row r="1102" spans="1:2" x14ac:dyDescent="0.3">
      <c r="A1102" s="5" t="str">
        <f>HYPERLINK("http://www.eatonpowersource.com/products/configure/screw-in%20cartridge%20valves/details/565786","565786")</f>
        <v>565786</v>
      </c>
      <c r="B1102" s="6" t="s">
        <v>1073</v>
      </c>
    </row>
    <row r="1103" spans="1:2" x14ac:dyDescent="0.3">
      <c r="A1103" s="7" t="str">
        <f>HYPERLINK("http://www.eatonpowersource.com/products/configure/screw-in%20cartridge%20valves/details/565787","565787")</f>
        <v>565787</v>
      </c>
      <c r="B1103" s="8" t="s">
        <v>1074</v>
      </c>
    </row>
    <row r="1104" spans="1:2" x14ac:dyDescent="0.3">
      <c r="A1104" s="5" t="str">
        <f>HYPERLINK("http://www.eatonpowersource.com/products/configure/screw-in%20cartridge%20valves/details/565792","565792")</f>
        <v>565792</v>
      </c>
      <c r="B1104" s="6" t="s">
        <v>1075</v>
      </c>
    </row>
    <row r="1105" spans="1:2" x14ac:dyDescent="0.3">
      <c r="A1105" s="7" t="str">
        <f>HYPERLINK("http://www.eatonpowersource.com/products/configure/screw-in%20cartridge%20valves/details/565794","565794")</f>
        <v>565794</v>
      </c>
      <c r="B1105" s="8" t="s">
        <v>1076</v>
      </c>
    </row>
    <row r="1106" spans="1:2" x14ac:dyDescent="0.3">
      <c r="A1106" s="5" t="str">
        <f>HYPERLINK("http://www.eatonpowersource.com/products/configure/screw-in%20cartridge%20valves/details/565849","565849")</f>
        <v>565849</v>
      </c>
      <c r="B1106" s="6" t="s">
        <v>1077</v>
      </c>
    </row>
    <row r="1107" spans="1:2" x14ac:dyDescent="0.3">
      <c r="A1107" s="7" t="str">
        <f>HYPERLINK("http://www.eatonpowersource.com/products/configure/screw-in%20cartridge%20valves/details/565879","565879")</f>
        <v>565879</v>
      </c>
      <c r="B1107" s="8" t="s">
        <v>1078</v>
      </c>
    </row>
    <row r="1108" spans="1:2" x14ac:dyDescent="0.3">
      <c r="A1108" s="5" t="str">
        <f>HYPERLINK("http://www.eatonpowersource.com/products/configure/screw-in%20cartridge%20valves/details/565885","565885")</f>
        <v>565885</v>
      </c>
      <c r="B1108" s="6" t="s">
        <v>1079</v>
      </c>
    </row>
    <row r="1109" spans="1:2" x14ac:dyDescent="0.3">
      <c r="A1109" s="7" t="str">
        <f>HYPERLINK("http://www.eatonpowersource.com/products/configure/screw-in%20cartridge%20valves/details/565886","565886")</f>
        <v>565886</v>
      </c>
      <c r="B1109" s="8" t="s">
        <v>1080</v>
      </c>
    </row>
    <row r="1110" spans="1:2" x14ac:dyDescent="0.3">
      <c r="A1110" s="5" t="str">
        <f>HYPERLINK("http://www.eatonpowersource.com/products/configure/screw-in%20cartridge%20valves/details/565901","565901")</f>
        <v>565901</v>
      </c>
      <c r="B1110" s="6" t="s">
        <v>1081</v>
      </c>
    </row>
    <row r="1111" spans="1:2" x14ac:dyDescent="0.3">
      <c r="A1111" s="7" t="str">
        <f>HYPERLINK("http://www.eatonpowersource.com/products/configure/screw-in%20cartridge%20valves/details/565902","565902")</f>
        <v>565902</v>
      </c>
      <c r="B1111" s="8" t="s">
        <v>1082</v>
      </c>
    </row>
    <row r="1112" spans="1:2" x14ac:dyDescent="0.3">
      <c r="A1112" s="5" t="str">
        <f>HYPERLINK("http://www.eatonpowersource.com/products/configure/screw-in%20cartridge%20valves/details/565946","565946")</f>
        <v>565946</v>
      </c>
      <c r="B1112" s="6" t="s">
        <v>1083</v>
      </c>
    </row>
    <row r="1113" spans="1:2" x14ac:dyDescent="0.3">
      <c r="A1113" s="7" t="str">
        <f>HYPERLINK("http://www.eatonpowersource.com/products/configure/screw-in%20cartridge%20valves/details/565984","565984")</f>
        <v>565984</v>
      </c>
      <c r="B1113" s="8" t="s">
        <v>1084</v>
      </c>
    </row>
    <row r="1114" spans="1:2" x14ac:dyDescent="0.3">
      <c r="A1114" s="5" t="str">
        <f>HYPERLINK("http://www.eatonpowersource.com/products/configure/screw-in%20cartridge%20valves/details/565987","565987")</f>
        <v>565987</v>
      </c>
      <c r="B1114" s="6" t="s">
        <v>1085</v>
      </c>
    </row>
    <row r="1115" spans="1:2" x14ac:dyDescent="0.3">
      <c r="A1115" s="7" t="str">
        <f>HYPERLINK("http://www.eatonpowersource.com/products/configure/screw-in%20cartridge%20valves/details/565988","565988")</f>
        <v>565988</v>
      </c>
      <c r="B1115" s="8" t="s">
        <v>1086</v>
      </c>
    </row>
    <row r="1116" spans="1:2" x14ac:dyDescent="0.3">
      <c r="A1116" s="5" t="str">
        <f>HYPERLINK("http://www.eatonpowersource.com/products/configure/screw-in%20cartridge%20valves/details/566005","566005")</f>
        <v>566005</v>
      </c>
      <c r="B1116" s="6" t="s">
        <v>1087</v>
      </c>
    </row>
    <row r="1117" spans="1:2" x14ac:dyDescent="0.3">
      <c r="A1117" s="7" t="str">
        <f>HYPERLINK("http://www.eatonpowersource.com/products/configure/screw-in%20cartridge%20valves/details/566009","566009")</f>
        <v>566009</v>
      </c>
      <c r="B1117" s="8" t="s">
        <v>1088</v>
      </c>
    </row>
    <row r="1118" spans="1:2" x14ac:dyDescent="0.3">
      <c r="A1118" s="5" t="str">
        <f>HYPERLINK("http://www.eatonpowersource.com/products/configure/screw-in%20cartridge%20valves/details/566155","566155")</f>
        <v>566155</v>
      </c>
      <c r="B1118" s="6" t="s">
        <v>1089</v>
      </c>
    </row>
    <row r="1119" spans="1:2" x14ac:dyDescent="0.3">
      <c r="A1119" s="7" t="str">
        <f>HYPERLINK("http://www.eatonpowersource.com/products/configure/screw-in%20cartridge%20valves/details/566168","566168")</f>
        <v>566168</v>
      </c>
      <c r="B1119" s="8" t="s">
        <v>1090</v>
      </c>
    </row>
    <row r="1120" spans="1:2" x14ac:dyDescent="0.3">
      <c r="A1120" s="5" t="str">
        <f>HYPERLINK("http://www.eatonpowersource.com/products/configure/screw-in%20cartridge%20valves/details/566203","566203")</f>
        <v>566203</v>
      </c>
      <c r="B1120" s="6" t="s">
        <v>1091</v>
      </c>
    </row>
    <row r="1121" spans="1:2" x14ac:dyDescent="0.3">
      <c r="A1121" s="7" t="str">
        <f>HYPERLINK("http://www.eatonpowersource.com/products/configure/screw-in%20cartridge%20valves/details/566277","566277")</f>
        <v>566277</v>
      </c>
      <c r="B1121" s="8" t="s">
        <v>1092</v>
      </c>
    </row>
    <row r="1122" spans="1:2" x14ac:dyDescent="0.3">
      <c r="A1122" s="5" t="str">
        <f>HYPERLINK("http://www.eatonpowersource.com/products/configure/screw-in%20cartridge%20valves/details/566291","566291")</f>
        <v>566291</v>
      </c>
      <c r="B1122" s="6" t="s">
        <v>1093</v>
      </c>
    </row>
    <row r="1123" spans="1:2" x14ac:dyDescent="0.3">
      <c r="A1123" s="7" t="str">
        <f>HYPERLINK("http://www.eatonpowersource.com/products/configure/screw-in%20cartridge%20valves/details/566334","566334")</f>
        <v>566334</v>
      </c>
      <c r="B1123" s="8" t="s">
        <v>1094</v>
      </c>
    </row>
    <row r="1124" spans="1:2" x14ac:dyDescent="0.3">
      <c r="A1124" s="5" t="str">
        <f>HYPERLINK("http://www.eatonpowersource.com/products/configure/screw-in%20cartridge%20valves/details/566341","566341")</f>
        <v>566341</v>
      </c>
      <c r="B1124" s="6" t="s">
        <v>1095</v>
      </c>
    </row>
    <row r="1125" spans="1:2" x14ac:dyDescent="0.3">
      <c r="A1125" s="7" t="str">
        <f>HYPERLINK("http://www.eatonpowersource.com/products/configure/screw-in%20cartridge%20valves/details/566376","566376")</f>
        <v>566376</v>
      </c>
      <c r="B1125" s="8" t="s">
        <v>1096</v>
      </c>
    </row>
    <row r="1126" spans="1:2" x14ac:dyDescent="0.3">
      <c r="A1126" s="5" t="str">
        <f>HYPERLINK("http://www.eatonpowersource.com/products/configure/screw-in%20cartridge%20valves/details/566380","566380")</f>
        <v>566380</v>
      </c>
      <c r="B1126" s="6" t="s">
        <v>1097</v>
      </c>
    </row>
    <row r="1127" spans="1:2" x14ac:dyDescent="0.3">
      <c r="A1127" s="7" t="str">
        <f>HYPERLINK("http://www.eatonpowersource.com/products/configure/screw-in%20cartridge%20valves/details/566544","566544")</f>
        <v>566544</v>
      </c>
      <c r="B1127" s="8" t="s">
        <v>1098</v>
      </c>
    </row>
    <row r="1128" spans="1:2" x14ac:dyDescent="0.3">
      <c r="A1128" s="5" t="str">
        <f>HYPERLINK("http://www.eatonpowersource.com/products/configure/screw-in%20cartridge%20valves/details/566582","566582")</f>
        <v>566582</v>
      </c>
      <c r="B1128" s="6" t="s">
        <v>1099</v>
      </c>
    </row>
    <row r="1129" spans="1:2" x14ac:dyDescent="0.3">
      <c r="A1129" s="7" t="str">
        <f>HYPERLINK("http://www.eatonpowersource.com/products/configure/screw-in%20cartridge%20valves/details/566650","566650")</f>
        <v>566650</v>
      </c>
      <c r="B1129" s="8" t="s">
        <v>1100</v>
      </c>
    </row>
    <row r="1130" spans="1:2" x14ac:dyDescent="0.3">
      <c r="A1130" s="5" t="str">
        <f>HYPERLINK("http://www.eatonpowersource.com/products/configure/screw-in%20cartridge%20valves/details/615aa00074a","615AA00074A")</f>
        <v>615AA00074A</v>
      </c>
      <c r="B1130" s="6" t="s">
        <v>1101</v>
      </c>
    </row>
    <row r="1131" spans="1:2" x14ac:dyDescent="0.3">
      <c r="A1131" s="7" t="str">
        <f>HYPERLINK("http://www.eatonpowersource.com/products/configure/screw-in%20cartridge%20valves/details/615aa00075a","615AA00075A")</f>
        <v>615AA00075A</v>
      </c>
      <c r="B1131" s="8" t="s">
        <v>1102</v>
      </c>
    </row>
    <row r="1132" spans="1:2" x14ac:dyDescent="0.3">
      <c r="A1132" s="5" t="str">
        <f>HYPERLINK("http://www.eatonpowersource.com/products/configure/screw-in%20cartridge%20valves/details/889262","889262")</f>
        <v>889262</v>
      </c>
      <c r="B1132" s="6" t="s">
        <v>1103</v>
      </c>
    </row>
    <row r="1133" spans="1:2" x14ac:dyDescent="0.3">
      <c r="A1133" s="7" t="str">
        <f>HYPERLINK("http://www.eatonpowersource.com/products/configure/screw-in%20cartridge%20valves/details/889430","889430")</f>
        <v>889430</v>
      </c>
      <c r="B1133" s="8" t="s">
        <v>1104</v>
      </c>
    </row>
    <row r="1134" spans="1:2" x14ac:dyDescent="0.3">
      <c r="A1134" s="5" t="str">
        <f>HYPERLINK("http://www.eatonpowersource.com/products/configure/screw-in%20cartridge%20valves/details/889431","889431")</f>
        <v>889431</v>
      </c>
      <c r="B1134" s="6" t="s">
        <v>1105</v>
      </c>
    </row>
    <row r="1135" spans="1:2" x14ac:dyDescent="0.3">
      <c r="A1135" s="7" t="str">
        <f>HYPERLINK("http://www.eatonpowersource.com/products/configure/screw-in%20cartridge%20valves/details/889434","889434")</f>
        <v>889434</v>
      </c>
      <c r="B1135" s="8" t="s">
        <v>1106</v>
      </c>
    </row>
    <row r="1136" spans="1:2" x14ac:dyDescent="0.3">
      <c r="A1136" s="5" t="str">
        <f>HYPERLINK("http://www.eatonpowersource.com/products/configure/screw-in%20cartridge%20valves/details/889471","889471")</f>
        <v>889471</v>
      </c>
      <c r="B1136" s="6" t="s">
        <v>1107</v>
      </c>
    </row>
    <row r="1137" spans="1:2" x14ac:dyDescent="0.3">
      <c r="A1137" s="7" t="str">
        <f>HYPERLINK("http://www.eatonpowersource.com/products/configure/screw-in%20cartridge%20valves/details/889472","889472")</f>
        <v>889472</v>
      </c>
      <c r="B1137" s="8" t="s">
        <v>1108</v>
      </c>
    </row>
    <row r="1138" spans="1:2" x14ac:dyDescent="0.3">
      <c r="A1138" s="5" t="str">
        <f>HYPERLINK("http://www.eatonpowersource.com/products/configure/screw-in%20cartridge%20valves/details/889484","889484")</f>
        <v>889484</v>
      </c>
      <c r="B1138" s="6" t="s">
        <v>1109</v>
      </c>
    </row>
    <row r="1139" spans="1:2" x14ac:dyDescent="0.3">
      <c r="A1139" s="7" t="str">
        <f>HYPERLINK("http://www.eatonpowersource.com/products/configure/screw-in%20cartridge%20valves/details/889493","889493")</f>
        <v>889493</v>
      </c>
      <c r="B1139" s="8" t="s">
        <v>1110</v>
      </c>
    </row>
    <row r="1140" spans="1:2" x14ac:dyDescent="0.3">
      <c r="A1140" s="5" t="str">
        <f>HYPERLINK("http://www.eatonpowersource.com/products/configure/screw-in%20cartridge%20valves/details/02-170776","02-170776")</f>
        <v>02-170776</v>
      </c>
      <c r="B1140" s="6" t="s">
        <v>1111</v>
      </c>
    </row>
    <row r="1141" spans="1:2" x14ac:dyDescent="0.3">
      <c r="A1141" s="7" t="str">
        <f>HYPERLINK("http://www.eatonpowersource.com/products/configure/screw-in%20cartridge%20valves/details/02-170778","02-170778")</f>
        <v>02-170778</v>
      </c>
      <c r="B1141" s="8" t="s">
        <v>1112</v>
      </c>
    </row>
    <row r="1142" spans="1:2" x14ac:dyDescent="0.3">
      <c r="A1142" s="5" t="str">
        <f>HYPERLINK("http://www.eatonpowersource.com/products/configure/screw-in%20cartridge%20valves/details/02-171609","02-171609")</f>
        <v>02-171609</v>
      </c>
      <c r="B1142" s="6" t="s">
        <v>1113</v>
      </c>
    </row>
    <row r="1143" spans="1:2" x14ac:dyDescent="0.3">
      <c r="A1143" s="7" t="str">
        <f>HYPERLINK("http://www.eatonpowersource.com/products/configure/screw-in%20cartridge%20valves/details/02-175158","02-175158")</f>
        <v>02-175158</v>
      </c>
      <c r="B1143" s="8" t="s">
        <v>1114</v>
      </c>
    </row>
    <row r="1144" spans="1:2" x14ac:dyDescent="0.3">
      <c r="A1144" s="5" t="str">
        <f>HYPERLINK("http://www.eatonpowersource.com/products/configure/screw-in%20cartridge%20valves/details/402aa00025a","402AA00025A")</f>
        <v>402AA00025A</v>
      </c>
      <c r="B1144" s="6" t="s">
        <v>1115</v>
      </c>
    </row>
    <row r="1145" spans="1:2" x14ac:dyDescent="0.3">
      <c r="A1145" s="7" t="str">
        <f>HYPERLINK("http://www.eatonpowersource.com/products/configure/screw-in%20cartridge%20valves/details/402aa00026a","402AA00026A")</f>
        <v>402AA00026A</v>
      </c>
      <c r="B1145" s="8" t="s">
        <v>1116</v>
      </c>
    </row>
    <row r="1146" spans="1:2" x14ac:dyDescent="0.3">
      <c r="A1146" s="5" t="str">
        <f>HYPERLINK("http://www.eatonpowersource.com/products/configure/screw-in%20cartridge%20valves/details/402aa00027a","402AA00027A")</f>
        <v>402AA00027A</v>
      </c>
      <c r="B1146" s="6" t="s">
        <v>1117</v>
      </c>
    </row>
    <row r="1147" spans="1:2" x14ac:dyDescent="0.3">
      <c r="A1147" s="7" t="str">
        <f>HYPERLINK("http://www.eatonpowersource.com/products/configure/screw-in%20cartridge%20valves/details/402aa00183a","402AA00183A")</f>
        <v>402AA00183A</v>
      </c>
      <c r="B1147" s="8" t="s">
        <v>1118</v>
      </c>
    </row>
    <row r="1148" spans="1:2" x14ac:dyDescent="0.3">
      <c r="A1148" s="5" t="str">
        <f>HYPERLINK("http://www.eatonpowersource.com/products/configure/screw-in%20cartridge%20valves/details/402aa00186a","402AA00186A")</f>
        <v>402AA00186A</v>
      </c>
      <c r="B1148" s="6" t="s">
        <v>1119</v>
      </c>
    </row>
    <row r="1149" spans="1:2" x14ac:dyDescent="0.3">
      <c r="A1149" s="7" t="str">
        <f>HYPERLINK("http://www.eatonpowersource.com/products/configure/screw-in%20cartridge%20valves/details/402aa00188a","402AA00188A")</f>
        <v>402AA00188A</v>
      </c>
      <c r="B1149" s="8" t="s">
        <v>1120</v>
      </c>
    </row>
    <row r="1150" spans="1:2" x14ac:dyDescent="0.3">
      <c r="A1150" s="5" t="str">
        <f>HYPERLINK("http://www.eatonpowersource.com/products/configure/screw-in%20cartridge%20valves/details/407aa00030a","407AA00030A")</f>
        <v>407AA00030A</v>
      </c>
      <c r="B1150" s="6" t="s">
        <v>1121</v>
      </c>
    </row>
    <row r="1151" spans="1:2" x14ac:dyDescent="0.3">
      <c r="A1151" s="7" t="str">
        <f>HYPERLINK("http://www.eatonpowersource.com/products/configure/screw-in%20cartridge%20valves/details/407aa00031a","407AA00031A")</f>
        <v>407AA00031A</v>
      </c>
      <c r="B1151" s="8" t="s">
        <v>1122</v>
      </c>
    </row>
    <row r="1152" spans="1:2" x14ac:dyDescent="0.3">
      <c r="A1152" s="5" t="str">
        <f>HYPERLINK("http://www.eatonpowersource.com/products/configure/screw-in%20cartridge%20valves/details/407aa00041a","407AA00041A")</f>
        <v>407AA00041A</v>
      </c>
      <c r="B1152" s="6" t="s">
        <v>1123</v>
      </c>
    </row>
    <row r="1153" spans="1:2" x14ac:dyDescent="0.3">
      <c r="A1153" s="7" t="str">
        <f>HYPERLINK("http://www.eatonpowersource.com/products/configure/screw-in%20cartridge%20valves/details/407aa00279a","407AA00279A")</f>
        <v>407AA00279A</v>
      </c>
      <c r="B1153" s="8" t="s">
        <v>1124</v>
      </c>
    </row>
    <row r="1154" spans="1:2" x14ac:dyDescent="0.3">
      <c r="A1154" s="5" t="str">
        <f>HYPERLINK("http://www.eatonpowersource.com/products/configure/screw-in%20cartridge%20valves/details/407aa00309a","407AA00309A")</f>
        <v>407AA00309A</v>
      </c>
      <c r="B1154" s="6" t="s">
        <v>1125</v>
      </c>
    </row>
    <row r="1155" spans="1:2" x14ac:dyDescent="0.3">
      <c r="A1155" s="7" t="str">
        <f>HYPERLINK("http://www.eatonpowersource.com/products/configure/screw-in%20cartridge%20valves/details/407aa00310a","407AA00310A")</f>
        <v>407AA00310A</v>
      </c>
      <c r="B1155" s="8" t="s">
        <v>1126</v>
      </c>
    </row>
    <row r="1156" spans="1:2" x14ac:dyDescent="0.3">
      <c r="A1156" s="5" t="str">
        <f>HYPERLINK("http://www.eatonpowersource.com/products/configure/screw-in%20cartridge%20valves/details/407aa00313a","407AA00313A")</f>
        <v>407AA00313A</v>
      </c>
      <c r="B1156" s="6" t="s">
        <v>1127</v>
      </c>
    </row>
    <row r="1157" spans="1:2" x14ac:dyDescent="0.3">
      <c r="A1157" s="7" t="str">
        <f>HYPERLINK("http://www.eatonpowersource.com/products/configure/screw-in%20cartridge%20valves/details/407aa00324a","407AA00324A")</f>
        <v>407AA00324A</v>
      </c>
      <c r="B1157" s="8" t="s">
        <v>1128</v>
      </c>
    </row>
    <row r="1158" spans="1:2" x14ac:dyDescent="0.3">
      <c r="A1158" s="5" t="str">
        <f>HYPERLINK("http://www.eatonpowersource.com/products/configure/screw-in%20cartridge%20valves/details/407aa00325a","407AA00325A")</f>
        <v>407AA00325A</v>
      </c>
      <c r="B1158" s="6" t="s">
        <v>1129</v>
      </c>
    </row>
    <row r="1159" spans="1:2" x14ac:dyDescent="0.3">
      <c r="A1159" s="7" t="str">
        <f>HYPERLINK("http://www.eatonpowersource.com/products/configure/screw-in%20cartridge%20valves/details/407aa00326a","407AA00326A")</f>
        <v>407AA00326A</v>
      </c>
      <c r="B1159" s="8" t="s">
        <v>1130</v>
      </c>
    </row>
    <row r="1160" spans="1:2" x14ac:dyDescent="0.3">
      <c r="A1160" s="5" t="str">
        <f>HYPERLINK("http://www.eatonpowersource.com/products/configure/screw-in%20cartridge%20valves/details/407aa00334a","407AA00334A")</f>
        <v>407AA00334A</v>
      </c>
      <c r="B1160" s="6" t="s">
        <v>1131</v>
      </c>
    </row>
    <row r="1161" spans="1:2" x14ac:dyDescent="0.3">
      <c r="A1161" s="7" t="str">
        <f>HYPERLINK("http://www.eatonpowersource.com/products/configure/screw-in%20cartridge%20valves/details/407aa00346a","407AA00346A")</f>
        <v>407AA00346A</v>
      </c>
      <c r="B1161" s="8" t="s">
        <v>1132</v>
      </c>
    </row>
    <row r="1162" spans="1:2" x14ac:dyDescent="0.3">
      <c r="A1162" s="5" t="str">
        <f>HYPERLINK("http://www.eatonpowersource.com/products/configure/screw-in%20cartridge%20valves/details/407aa00351a","407AA00351A")</f>
        <v>407AA00351A</v>
      </c>
      <c r="B1162" s="6" t="s">
        <v>1133</v>
      </c>
    </row>
    <row r="1163" spans="1:2" x14ac:dyDescent="0.3">
      <c r="A1163" s="7" t="str">
        <f>HYPERLINK("http://www.eatonpowersource.com/products/configure/screw-in%20cartridge%20valves/details/407aa00356a","407AA00356A")</f>
        <v>407AA00356A</v>
      </c>
      <c r="B1163" s="8" t="s">
        <v>1134</v>
      </c>
    </row>
    <row r="1164" spans="1:2" x14ac:dyDescent="0.3">
      <c r="A1164" s="5" t="str">
        <f>HYPERLINK("http://www.eatonpowersource.com/products/configure/screw-in%20cartridge%20valves/details/407aa00366a","407AA00366A")</f>
        <v>407AA00366A</v>
      </c>
      <c r="B1164" s="6" t="s">
        <v>1135</v>
      </c>
    </row>
    <row r="1165" spans="1:2" x14ac:dyDescent="0.3">
      <c r="A1165" s="7" t="str">
        <f>HYPERLINK("http://www.eatonpowersource.com/products/configure/screw-in%20cartridge%20valves/details/407aa00367a","407AA00367A")</f>
        <v>407AA00367A</v>
      </c>
      <c r="B1165" s="8" t="s">
        <v>1136</v>
      </c>
    </row>
    <row r="1166" spans="1:2" x14ac:dyDescent="0.3">
      <c r="A1166" s="5" t="str">
        <f>HYPERLINK("http://www.eatonpowersource.com/products/configure/screw-in%20cartridge%20valves/details/407aa00368a","407AA00368A")</f>
        <v>407AA00368A</v>
      </c>
      <c r="B1166" s="6" t="s">
        <v>1137</v>
      </c>
    </row>
    <row r="1167" spans="1:2" x14ac:dyDescent="0.3">
      <c r="A1167" s="7" t="str">
        <f>HYPERLINK("http://www.eatonpowersource.com/products/configure/screw-in%20cartridge%20valves/details/407aa00371a","407AA00371A")</f>
        <v>407AA00371A</v>
      </c>
      <c r="B1167" s="8" t="s">
        <v>1138</v>
      </c>
    </row>
    <row r="1168" spans="1:2" x14ac:dyDescent="0.3">
      <c r="A1168" s="5" t="str">
        <f>HYPERLINK("http://www.eatonpowersource.com/products/configure/screw-in%20cartridge%20valves/details/407aa00373a","407AA00373A")</f>
        <v>407AA00373A</v>
      </c>
      <c r="B1168" s="6" t="s">
        <v>1139</v>
      </c>
    </row>
    <row r="1169" spans="1:2" x14ac:dyDescent="0.3">
      <c r="A1169" s="7" t="str">
        <f>HYPERLINK("http://www.eatonpowersource.com/products/configure/screw-in%20cartridge%20valves/details/407aa00374a","407AA00374A")</f>
        <v>407AA00374A</v>
      </c>
      <c r="B1169" s="8" t="s">
        <v>1140</v>
      </c>
    </row>
    <row r="1170" spans="1:2" x14ac:dyDescent="0.3">
      <c r="A1170" s="5" t="str">
        <f>HYPERLINK("http://www.eatonpowersource.com/products/configure/screw-in%20cartridge%20valves/details/407aa01304a","407AA01304A")</f>
        <v>407AA01304A</v>
      </c>
      <c r="B1170" s="6" t="s">
        <v>1141</v>
      </c>
    </row>
    <row r="1171" spans="1:2" x14ac:dyDescent="0.3">
      <c r="A1171" s="7" t="str">
        <f>HYPERLINK("http://www.eatonpowersource.com/products/configure/screw-in%20cartridge%20valves/details/407aa01305a","407AA01305A")</f>
        <v>407AA01305A</v>
      </c>
      <c r="B1171" s="8" t="s">
        <v>1142</v>
      </c>
    </row>
    <row r="1172" spans="1:2" x14ac:dyDescent="0.3">
      <c r="A1172" s="5" t="str">
        <f>HYPERLINK("http://www.eatonpowersource.com/products/configure/screw-in%20cartridge%20valves/details/407aa01459a","407AA01459A")</f>
        <v>407AA01459A</v>
      </c>
      <c r="B1172" s="6" t="s">
        <v>1143</v>
      </c>
    </row>
    <row r="1173" spans="1:2" x14ac:dyDescent="0.3">
      <c r="A1173" s="7" t="str">
        <f>HYPERLINK("http://www.eatonpowersource.com/products/configure/screw-in%20cartridge%20valves/details/407aa01462a","407AA01462A")</f>
        <v>407AA01462A</v>
      </c>
      <c r="B1173" s="8" t="s">
        <v>1144</v>
      </c>
    </row>
    <row r="1174" spans="1:2" x14ac:dyDescent="0.3">
      <c r="A1174" s="5" t="str">
        <f>HYPERLINK("http://www.eatonpowersource.com/products/configure/screw-in%20cartridge%20valves/details/407aa01485a","407AA01485A")</f>
        <v>407AA01485A</v>
      </c>
      <c r="B1174" s="6" t="s">
        <v>1145</v>
      </c>
    </row>
    <row r="1175" spans="1:2" x14ac:dyDescent="0.3">
      <c r="A1175" s="7" t="str">
        <f>HYPERLINK("http://www.eatonpowersource.com/products/configure/screw-in%20cartridge%20valves/details/407aa01556a","407AA01556A")</f>
        <v>407AA01556A</v>
      </c>
      <c r="B1175" s="8" t="s">
        <v>1146</v>
      </c>
    </row>
    <row r="1176" spans="1:2" x14ac:dyDescent="0.3">
      <c r="A1176" s="5" t="str">
        <f>HYPERLINK("http://www.eatonpowersource.com/products/configure/screw-in%20cartridge%20valves/details/407aa01949a","407AA01949A")</f>
        <v>407AA01949A</v>
      </c>
      <c r="B1176" s="6" t="s">
        <v>1147</v>
      </c>
    </row>
    <row r="1177" spans="1:2" x14ac:dyDescent="0.3">
      <c r="A1177" s="7" t="str">
        <f>HYPERLINK("http://www.eatonpowersource.com/products/configure/screw-in%20cartridge%20valves/details/407aa02105a","407AA02105A")</f>
        <v>407AA02105A</v>
      </c>
      <c r="B1177" s="8" t="s">
        <v>1148</v>
      </c>
    </row>
    <row r="1178" spans="1:2" x14ac:dyDescent="0.3">
      <c r="A1178" s="5" t="str">
        <f>HYPERLINK("http://www.eatonpowersource.com/products/configure/screw-in%20cartridge%20valves/details/407aa02165a","407AA02165A")</f>
        <v>407AA02165A</v>
      </c>
      <c r="B1178" s="6" t="s">
        <v>1149</v>
      </c>
    </row>
    <row r="1179" spans="1:2" x14ac:dyDescent="0.3">
      <c r="A1179" s="7" t="str">
        <f>HYPERLINK("http://www.eatonpowersource.com/products/configure/screw-in%20cartridge%20valves/details/407aa03181a","407AA03181A")</f>
        <v>407AA03181A</v>
      </c>
      <c r="B1179" s="8" t="s">
        <v>1150</v>
      </c>
    </row>
    <row r="1180" spans="1:2" x14ac:dyDescent="0.3">
      <c r="A1180" s="5" t="str">
        <f>HYPERLINK("http://www.eatonpowersource.com/products/configure/screw-in%20cartridge%20valves/details/407aa01939a","407AA01939A")</f>
        <v>407AA01939A</v>
      </c>
      <c r="B1180" s="6" t="s">
        <v>1151</v>
      </c>
    </row>
    <row r="1181" spans="1:2" x14ac:dyDescent="0.3">
      <c r="A1181" s="7" t="str">
        <f>HYPERLINK("http://www.eatonpowersource.com/products/configure/screw-in%20cartridge%20valves/details/407aa03243a","407AA03243A")</f>
        <v>407AA03243A</v>
      </c>
      <c r="B1181" s="8" t="s">
        <v>1152</v>
      </c>
    </row>
    <row r="1182" spans="1:2" x14ac:dyDescent="0.3">
      <c r="A1182" s="5" t="str">
        <f>HYPERLINK("http://www.eatonpowersource.com/products/configure/screw-in%20cartridge%20valves/details/02-112777","02-112777")</f>
        <v>02-112777</v>
      </c>
      <c r="B1182" s="6" t="s">
        <v>1153</v>
      </c>
    </row>
    <row r="1183" spans="1:2" x14ac:dyDescent="0.3">
      <c r="A1183" s="7" t="str">
        <f>HYPERLINK("http://www.eatonpowersource.com/products/configure/screw-in%20cartridge%20valves/details/02-112872","02-112872")</f>
        <v>02-112872</v>
      </c>
      <c r="B1183" s="8" t="s">
        <v>1154</v>
      </c>
    </row>
    <row r="1184" spans="1:2" x14ac:dyDescent="0.3">
      <c r="A1184" s="5" t="str">
        <f>HYPERLINK("http://www.eatonpowersource.com/products/configure/screw-in%20cartridge%20valves/details/02-112878","02-112878")</f>
        <v>02-112878</v>
      </c>
      <c r="B1184" s="6" t="s">
        <v>1155</v>
      </c>
    </row>
    <row r="1185" spans="1:2" x14ac:dyDescent="0.3">
      <c r="A1185" s="7" t="str">
        <f>HYPERLINK("http://www.eatonpowersource.com/products/configure/screw-in%20cartridge%20valves/details/02-112879","02-112879")</f>
        <v>02-112879</v>
      </c>
      <c r="B1185" s="8" t="s">
        <v>1156</v>
      </c>
    </row>
    <row r="1186" spans="1:2" x14ac:dyDescent="0.3">
      <c r="A1186" s="5" t="str">
        <f>HYPERLINK("http://www.eatonpowersource.com/products/configure/screw-in%20cartridge%20valves/details/02-112917","02-112917")</f>
        <v>02-112917</v>
      </c>
      <c r="B1186" s="6" t="s">
        <v>1157</v>
      </c>
    </row>
    <row r="1187" spans="1:2" x14ac:dyDescent="0.3">
      <c r="A1187" s="7" t="str">
        <f>HYPERLINK("http://www.eatonpowersource.com/products/configure/screw-in%20cartridge%20valves/details/02-112996","02-112996")</f>
        <v>02-112996</v>
      </c>
      <c r="B1187" s="8" t="s">
        <v>1158</v>
      </c>
    </row>
    <row r="1188" spans="1:2" x14ac:dyDescent="0.3">
      <c r="A1188" s="5" t="str">
        <f>HYPERLINK("http://www.eatonpowersource.com/products/configure/screw-in%20cartridge%20valves/details/02-113001","02-113001")</f>
        <v>02-113001</v>
      </c>
      <c r="B1188" s="6" t="s">
        <v>1159</v>
      </c>
    </row>
    <row r="1189" spans="1:2" x14ac:dyDescent="0.3">
      <c r="A1189" s="7" t="str">
        <f>HYPERLINK("http://www.eatonpowersource.com/products/configure/screw-in%20cartridge%20valves/details/02-113002","02-113002")</f>
        <v>02-113002</v>
      </c>
      <c r="B1189" s="8" t="s">
        <v>1160</v>
      </c>
    </row>
    <row r="1190" spans="1:2" x14ac:dyDescent="0.3">
      <c r="A1190" s="5" t="str">
        <f>HYPERLINK("http://www.eatonpowersource.com/products/configure/screw-in%20cartridge%20valves/details/02-113003","02-113003")</f>
        <v>02-113003</v>
      </c>
      <c r="B1190" s="6" t="s">
        <v>1161</v>
      </c>
    </row>
    <row r="1191" spans="1:2" x14ac:dyDescent="0.3">
      <c r="A1191" s="7" t="str">
        <f>HYPERLINK("http://www.eatonpowersource.com/products/configure/screw-in%20cartridge%20valves/details/02-113004","02-113004")</f>
        <v>02-113004</v>
      </c>
      <c r="B1191" s="8" t="s">
        <v>1162</v>
      </c>
    </row>
    <row r="1192" spans="1:2" x14ac:dyDescent="0.3">
      <c r="A1192" s="5" t="str">
        <f>HYPERLINK("http://www.eatonpowersource.com/products/configure/screw-in%20cartridge%20valves/details/02-113005","02-113005")</f>
        <v>02-113005</v>
      </c>
      <c r="B1192" s="6" t="s">
        <v>1163</v>
      </c>
    </row>
    <row r="1193" spans="1:2" x14ac:dyDescent="0.3">
      <c r="A1193" s="7" t="str">
        <f>HYPERLINK("http://www.eatonpowersource.com/products/configure/screw-in%20cartridge%20valves/details/02-113006","02-113006")</f>
        <v>02-113006</v>
      </c>
      <c r="B1193" s="8" t="s">
        <v>1164</v>
      </c>
    </row>
    <row r="1194" spans="1:2" x14ac:dyDescent="0.3">
      <c r="A1194" s="5" t="str">
        <f>HYPERLINK("http://www.eatonpowersource.com/products/configure/screw-in%20cartridge%20valves/details/02-113007","02-113007")</f>
        <v>02-113007</v>
      </c>
      <c r="B1194" s="6" t="s">
        <v>1165</v>
      </c>
    </row>
    <row r="1195" spans="1:2" x14ac:dyDescent="0.3">
      <c r="A1195" s="7" t="str">
        <f>HYPERLINK("http://www.eatonpowersource.com/products/configure/screw-in%20cartridge%20valves/details/02-113008","02-113008")</f>
        <v>02-113008</v>
      </c>
      <c r="B1195" s="8" t="s">
        <v>1166</v>
      </c>
    </row>
    <row r="1196" spans="1:2" x14ac:dyDescent="0.3">
      <c r="A1196" s="5" t="str">
        <f>HYPERLINK("http://www.eatonpowersource.com/products/configure/screw-in%20cartridge%20valves/details/02-113014","02-113014")</f>
        <v>02-113014</v>
      </c>
      <c r="B1196" s="6" t="s">
        <v>1167</v>
      </c>
    </row>
    <row r="1197" spans="1:2" x14ac:dyDescent="0.3">
      <c r="A1197" s="7" t="str">
        <f>HYPERLINK("http://www.eatonpowersource.com/products/configure/screw-in%20cartridge%20valves/details/02-113019","02-113019")</f>
        <v>02-113019</v>
      </c>
      <c r="B1197" s="8" t="s">
        <v>1168</v>
      </c>
    </row>
    <row r="1198" spans="1:2" x14ac:dyDescent="0.3">
      <c r="A1198" s="5" t="str">
        <f>HYPERLINK("http://www.eatonpowersource.com/products/configure/screw-in%20cartridge%20valves/details/02-113038","02-113038")</f>
        <v>02-113038</v>
      </c>
      <c r="B1198" s="6" t="s">
        <v>1169</v>
      </c>
    </row>
    <row r="1199" spans="1:2" x14ac:dyDescent="0.3">
      <c r="A1199" s="7" t="str">
        <f>HYPERLINK("http://www.eatonpowersource.com/products/configure/screw-in%20cartridge%20valves/details/02-113043","02-113043")</f>
        <v>02-113043</v>
      </c>
      <c r="B1199" s="8" t="s">
        <v>1170</v>
      </c>
    </row>
    <row r="1200" spans="1:2" x14ac:dyDescent="0.3">
      <c r="A1200" s="5" t="str">
        <f>HYPERLINK("http://www.eatonpowersource.com/products/configure/screw-in%20cartridge%20valves/details/02-113083","02-113083")</f>
        <v>02-113083</v>
      </c>
      <c r="B1200" s="6" t="s">
        <v>1171</v>
      </c>
    </row>
    <row r="1201" spans="1:2" x14ac:dyDescent="0.3">
      <c r="A1201" s="7" t="str">
        <f>HYPERLINK("http://www.eatonpowersource.com/products/configure/screw-in%20cartridge%20valves/details/02-113116","02-113116")</f>
        <v>02-113116</v>
      </c>
      <c r="B1201" s="8" t="s">
        <v>1172</v>
      </c>
    </row>
    <row r="1202" spans="1:2" x14ac:dyDescent="0.3">
      <c r="A1202" s="5" t="str">
        <f>HYPERLINK("http://www.eatonpowersource.com/products/configure/screw-in%20cartridge%20valves/details/02-153242","02-153242")</f>
        <v>02-153242</v>
      </c>
      <c r="B1202" s="6" t="s">
        <v>1173</v>
      </c>
    </row>
    <row r="1203" spans="1:2" x14ac:dyDescent="0.3">
      <c r="A1203" s="7" t="str">
        <f>HYPERLINK("http://www.eatonpowersource.com/products/configure/screw-in%20cartridge%20valves/details/02-160621","02-160621")</f>
        <v>02-160621</v>
      </c>
      <c r="B1203" s="8" t="s">
        <v>1174</v>
      </c>
    </row>
    <row r="1204" spans="1:2" x14ac:dyDescent="0.3">
      <c r="A1204" s="5" t="str">
        <f>HYPERLINK("http://www.eatonpowersource.com/products/configure/screw-in%20cartridge%20valves/details/02-162829","02-162829")</f>
        <v>02-162829</v>
      </c>
      <c r="B1204" s="6" t="s">
        <v>1175</v>
      </c>
    </row>
    <row r="1205" spans="1:2" x14ac:dyDescent="0.3">
      <c r="A1205" s="7" t="str">
        <f>HYPERLINK("http://www.eatonpowersource.com/products/configure/screw-in%20cartridge%20valves/details/02-162885","02-162885")</f>
        <v>02-162885</v>
      </c>
      <c r="B1205" s="8" t="s">
        <v>1176</v>
      </c>
    </row>
    <row r="1206" spans="1:2" x14ac:dyDescent="0.3">
      <c r="A1206" s="5" t="str">
        <f>HYPERLINK("http://www.eatonpowersource.com/products/configure/screw-in%20cartridge%20valves/details/02-162977","02-162977")</f>
        <v>02-162977</v>
      </c>
      <c r="B1206" s="6" t="s">
        <v>1177</v>
      </c>
    </row>
    <row r="1207" spans="1:2" x14ac:dyDescent="0.3">
      <c r="A1207" s="7" t="str">
        <f>HYPERLINK("http://www.eatonpowersource.com/products/configure/screw-in%20cartridge%20valves/details/02-163017","02-163017")</f>
        <v>02-163017</v>
      </c>
      <c r="B1207" s="8" t="s">
        <v>1178</v>
      </c>
    </row>
    <row r="1208" spans="1:2" x14ac:dyDescent="0.3">
      <c r="A1208" s="5" t="str">
        <f>HYPERLINK("http://www.eatonpowersource.com/products/configure/screw-in%20cartridge%20valves/details/02-163025","02-163025")</f>
        <v>02-163025</v>
      </c>
      <c r="B1208" s="6" t="s">
        <v>1179</v>
      </c>
    </row>
    <row r="1209" spans="1:2" x14ac:dyDescent="0.3">
      <c r="A1209" s="7" t="str">
        <f>HYPERLINK("http://www.eatonpowersource.com/products/configure/screw-in%20cartridge%20valves/details/02-163233","02-163233")</f>
        <v>02-163233</v>
      </c>
      <c r="B1209" s="8" t="s">
        <v>1180</v>
      </c>
    </row>
    <row r="1210" spans="1:2" x14ac:dyDescent="0.3">
      <c r="A1210" s="5" t="str">
        <f>HYPERLINK("http://www.eatonpowersource.com/products/configure/screw-in%20cartridge%20valves/details/02-163235","02-163235")</f>
        <v>02-163235</v>
      </c>
      <c r="B1210" s="6" t="s">
        <v>1181</v>
      </c>
    </row>
    <row r="1211" spans="1:2" x14ac:dyDescent="0.3">
      <c r="A1211" s="7" t="str">
        <f>HYPERLINK("http://www.eatonpowersource.com/products/configure/screw-in%20cartridge%20valves/details/02-163241","02-163241")</f>
        <v>02-163241</v>
      </c>
      <c r="B1211" s="8" t="s">
        <v>1182</v>
      </c>
    </row>
    <row r="1212" spans="1:2" x14ac:dyDescent="0.3">
      <c r="A1212" s="5" t="str">
        <f>HYPERLINK("http://www.eatonpowersource.com/products/configure/screw-in%20cartridge%20valves/details/02-163242","02-163242")</f>
        <v>02-163242</v>
      </c>
      <c r="B1212" s="6" t="s">
        <v>1183</v>
      </c>
    </row>
    <row r="1213" spans="1:2" x14ac:dyDescent="0.3">
      <c r="A1213" s="7" t="str">
        <f>HYPERLINK("http://www.eatonpowersource.com/products/configure/screw-in%20cartridge%20valves/details/02-163600","02-163600")</f>
        <v>02-163600</v>
      </c>
      <c r="B1213" s="8" t="s">
        <v>1184</v>
      </c>
    </row>
    <row r="1214" spans="1:2" x14ac:dyDescent="0.3">
      <c r="A1214" s="5" t="str">
        <f>HYPERLINK("http://www.eatonpowersource.com/products/configure/screw-in%20cartridge%20valves/details/02-163602","02-163602")</f>
        <v>02-163602</v>
      </c>
      <c r="B1214" s="6" t="s">
        <v>1185</v>
      </c>
    </row>
    <row r="1215" spans="1:2" x14ac:dyDescent="0.3">
      <c r="A1215" s="7" t="str">
        <f>HYPERLINK("http://www.eatonpowersource.com/products/configure/screw-in%20cartridge%20valves/details/02-163675","02-163675")</f>
        <v>02-163675</v>
      </c>
      <c r="B1215" s="8" t="s">
        <v>1186</v>
      </c>
    </row>
    <row r="1216" spans="1:2" x14ac:dyDescent="0.3">
      <c r="A1216" s="5" t="str">
        <f>HYPERLINK("http://www.eatonpowersource.com/products/configure/screw-in%20cartridge%20valves/details/02-165664","02-165664")</f>
        <v>02-165664</v>
      </c>
      <c r="B1216" s="6" t="s">
        <v>1187</v>
      </c>
    </row>
    <row r="1217" spans="1:2" x14ac:dyDescent="0.3">
      <c r="A1217" s="7" t="str">
        <f>HYPERLINK("http://www.eatonpowersource.com/products/configure/screw-in%20cartridge%20valves/details/02-169086","02-169086")</f>
        <v>02-169086</v>
      </c>
      <c r="B1217" s="8" t="s">
        <v>1188</v>
      </c>
    </row>
    <row r="1218" spans="1:2" x14ac:dyDescent="0.3">
      <c r="A1218" s="5" t="str">
        <f>HYPERLINK("http://www.eatonpowersource.com/products/configure/screw-in%20cartridge%20valves/details/02-169104","02-169104")</f>
        <v>02-169104</v>
      </c>
      <c r="B1218" s="6" t="s">
        <v>1189</v>
      </c>
    </row>
    <row r="1219" spans="1:2" x14ac:dyDescent="0.3">
      <c r="A1219" s="7" t="str">
        <f>HYPERLINK("http://www.eatonpowersource.com/products/configure/screw-in%20cartridge%20valves/details/02-169349","02-169349")</f>
        <v>02-169349</v>
      </c>
      <c r="B1219" s="8" t="s">
        <v>1190</v>
      </c>
    </row>
    <row r="1220" spans="1:2" x14ac:dyDescent="0.3">
      <c r="A1220" s="5" t="str">
        <f>HYPERLINK("http://www.eatonpowersource.com/products/configure/screw-in%20cartridge%20valves/details/02-169370","02-169370")</f>
        <v>02-169370</v>
      </c>
      <c r="B1220" s="6" t="s">
        <v>1191</v>
      </c>
    </row>
    <row r="1221" spans="1:2" x14ac:dyDescent="0.3">
      <c r="A1221" s="7" t="str">
        <f>HYPERLINK("http://www.eatonpowersource.com/products/configure/screw-in%20cartridge%20valves/details/02-169557","02-169557")</f>
        <v>02-169557</v>
      </c>
      <c r="B1221" s="8" t="s">
        <v>1192</v>
      </c>
    </row>
    <row r="1222" spans="1:2" x14ac:dyDescent="0.3">
      <c r="A1222" s="5" t="str">
        <f>HYPERLINK("http://www.eatonpowersource.com/products/configure/screw-in%20cartridge%20valves/details/02-169564","02-169564")</f>
        <v>02-169564</v>
      </c>
      <c r="B1222" s="6" t="s">
        <v>1193</v>
      </c>
    </row>
    <row r="1223" spans="1:2" x14ac:dyDescent="0.3">
      <c r="A1223" s="7" t="str">
        <f>HYPERLINK("http://www.eatonpowersource.com/products/configure/screw-in%20cartridge%20valves/details/02-170314","02-170314")</f>
        <v>02-170314</v>
      </c>
      <c r="B1223" s="8" t="s">
        <v>1194</v>
      </c>
    </row>
    <row r="1224" spans="1:2" x14ac:dyDescent="0.3">
      <c r="A1224" s="5" t="str">
        <f>HYPERLINK("http://www.eatonpowersource.com/products/configure/screw-in%20cartridge%20valves/details/02-170315","02-170315")</f>
        <v>02-170315</v>
      </c>
      <c r="B1224" s="6" t="s">
        <v>1195</v>
      </c>
    </row>
    <row r="1225" spans="1:2" x14ac:dyDescent="0.3">
      <c r="A1225" s="7" t="str">
        <f>HYPERLINK("http://www.eatonpowersource.com/products/configure/screw-in%20cartridge%20valves/details/02-171448","02-171448")</f>
        <v>02-171448</v>
      </c>
      <c r="B1225" s="8" t="s">
        <v>1196</v>
      </c>
    </row>
    <row r="1226" spans="1:2" x14ac:dyDescent="0.3">
      <c r="A1226" s="5" t="str">
        <f>HYPERLINK("http://www.eatonpowersource.com/products/configure/screw-in%20cartridge%20valves/details/02-171528","02-171528")</f>
        <v>02-171528</v>
      </c>
      <c r="B1226" s="6" t="s">
        <v>1197</v>
      </c>
    </row>
    <row r="1227" spans="1:2" x14ac:dyDescent="0.3">
      <c r="A1227" s="7" t="str">
        <f>HYPERLINK("http://www.eatonpowersource.com/products/configure/screw-in%20cartridge%20valves/details/02-171878","02-171878")</f>
        <v>02-171878</v>
      </c>
      <c r="B1227" s="8" t="s">
        <v>1198</v>
      </c>
    </row>
    <row r="1228" spans="1:2" x14ac:dyDescent="0.3">
      <c r="A1228" s="5" t="str">
        <f>HYPERLINK("http://www.eatonpowersource.com/products/configure/screw-in%20cartridge%20valves/details/02-171893","02-171893")</f>
        <v>02-171893</v>
      </c>
      <c r="B1228" s="6" t="s">
        <v>1199</v>
      </c>
    </row>
    <row r="1229" spans="1:2" x14ac:dyDescent="0.3">
      <c r="A1229" s="7" t="str">
        <f>HYPERLINK("http://www.eatonpowersource.com/products/configure/screw-in%20cartridge%20valves/details/02-172863","02-172863")</f>
        <v>02-172863</v>
      </c>
      <c r="B1229" s="8" t="s">
        <v>1200</v>
      </c>
    </row>
    <row r="1230" spans="1:2" x14ac:dyDescent="0.3">
      <c r="A1230" s="5" t="str">
        <f>HYPERLINK("http://www.eatonpowersource.com/products/configure/screw-in%20cartridge%20valves/details/02-172971","02-172971")</f>
        <v>02-172971</v>
      </c>
      <c r="B1230" s="6" t="s">
        <v>1201</v>
      </c>
    </row>
    <row r="1231" spans="1:2" x14ac:dyDescent="0.3">
      <c r="A1231" s="7" t="str">
        <f>HYPERLINK("http://www.eatonpowersource.com/products/configure/screw-in%20cartridge%20valves/details/02-173016","02-173016")</f>
        <v>02-173016</v>
      </c>
      <c r="B1231" s="8" t="s">
        <v>1202</v>
      </c>
    </row>
    <row r="1232" spans="1:2" x14ac:dyDescent="0.3">
      <c r="A1232" s="5" t="str">
        <f>HYPERLINK("http://www.eatonpowersource.com/products/configure/screw-in%20cartridge%20valves/details/02-173506","02-173506")</f>
        <v>02-173506</v>
      </c>
      <c r="B1232" s="6" t="s">
        <v>1203</v>
      </c>
    </row>
    <row r="1233" spans="1:2" x14ac:dyDescent="0.3">
      <c r="A1233" s="7" t="str">
        <f>HYPERLINK("http://www.eatonpowersource.com/products/configure/screw-in%20cartridge%20valves/details/02-174527","02-174527")</f>
        <v>02-174527</v>
      </c>
      <c r="B1233" s="8" t="s">
        <v>1204</v>
      </c>
    </row>
    <row r="1234" spans="1:2" x14ac:dyDescent="0.3">
      <c r="A1234" s="5" t="str">
        <f>HYPERLINK("http://www.eatonpowersource.com/products/configure/screw-in%20cartridge%20valves/details/02-176646","02-176646")</f>
        <v>02-176646</v>
      </c>
      <c r="B1234" s="6" t="s">
        <v>1205</v>
      </c>
    </row>
    <row r="1235" spans="1:2" x14ac:dyDescent="0.3">
      <c r="A1235" s="7" t="str">
        <f>HYPERLINK("http://www.eatonpowersource.com/products/configure/screw-in%20cartridge%20valves/details/02-176862","02-176862")</f>
        <v>02-176862</v>
      </c>
      <c r="B1235" s="8" t="s">
        <v>1206</v>
      </c>
    </row>
    <row r="1236" spans="1:2" x14ac:dyDescent="0.3">
      <c r="A1236" s="5" t="str">
        <f>HYPERLINK("http://www.eatonpowersource.com/products/configure/screw-in%20cartridge%20valves/details/02-176981","02-176981")</f>
        <v>02-176981</v>
      </c>
      <c r="B1236" s="6" t="s">
        <v>1207</v>
      </c>
    </row>
    <row r="1237" spans="1:2" x14ac:dyDescent="0.3">
      <c r="A1237" s="7" t="str">
        <f>HYPERLINK("http://www.eatonpowersource.com/products/configure/screw-in%20cartridge%20valves/details/02-177619","02-177619")</f>
        <v>02-177619</v>
      </c>
      <c r="B1237" s="8" t="s">
        <v>1208</v>
      </c>
    </row>
    <row r="1238" spans="1:2" x14ac:dyDescent="0.3">
      <c r="A1238" s="5" t="str">
        <f>HYPERLINK("http://www.eatonpowersource.com/products/configure/screw-in%20cartridge%20valves/details/02-180004","02-180004")</f>
        <v>02-180004</v>
      </c>
      <c r="B1238" s="6" t="s">
        <v>1209</v>
      </c>
    </row>
    <row r="1239" spans="1:2" x14ac:dyDescent="0.3">
      <c r="A1239" s="7" t="str">
        <f>HYPERLINK("http://www.eatonpowersource.com/products/configure/screw-in%20cartridge%20valves/details/02-180085","02-180085")</f>
        <v>02-180085</v>
      </c>
      <c r="B1239" s="8" t="s">
        <v>1210</v>
      </c>
    </row>
    <row r="1240" spans="1:2" x14ac:dyDescent="0.3">
      <c r="A1240" s="5" t="str">
        <f>HYPERLINK("http://www.eatonpowersource.com/products/configure/screw-in%20cartridge%20valves/details/02-180681","02-180681")</f>
        <v>02-180681</v>
      </c>
      <c r="B1240" s="6" t="s">
        <v>1211</v>
      </c>
    </row>
    <row r="1241" spans="1:2" x14ac:dyDescent="0.3">
      <c r="A1241" s="7" t="str">
        <f>HYPERLINK("http://www.eatonpowersource.com/products/configure/screw-in%20cartridge%20valves/details/02-180952","02-180952")</f>
        <v>02-180952</v>
      </c>
      <c r="B1241" s="8" t="s">
        <v>1212</v>
      </c>
    </row>
    <row r="1242" spans="1:2" x14ac:dyDescent="0.3">
      <c r="A1242" s="5" t="str">
        <f>HYPERLINK("http://www.eatonpowersource.com/products/configure/screw-in%20cartridge%20valves/details/02-181991","02-181991")</f>
        <v>02-181991</v>
      </c>
      <c r="B1242" s="6" t="s">
        <v>1213</v>
      </c>
    </row>
    <row r="1243" spans="1:2" x14ac:dyDescent="0.3">
      <c r="A1243" s="7" t="str">
        <f>HYPERLINK("http://www.eatonpowersource.com/products/configure/screw-in%20cartridge%20valves/details/02-182075","02-182075")</f>
        <v>02-182075</v>
      </c>
      <c r="B1243" s="8" t="s">
        <v>1214</v>
      </c>
    </row>
    <row r="1244" spans="1:2" x14ac:dyDescent="0.3">
      <c r="A1244" s="5" t="str">
        <f>HYPERLINK("http://www.eatonpowersource.com/products/configure/screw-in%20cartridge%20valves/details/02-182076","02-182076")</f>
        <v>02-182076</v>
      </c>
      <c r="B1244" s="6" t="s">
        <v>1215</v>
      </c>
    </row>
    <row r="1245" spans="1:2" x14ac:dyDescent="0.3">
      <c r="A1245" s="7" t="str">
        <f>HYPERLINK("http://www.eatonpowersource.com/products/configure/screw-in%20cartridge%20valves/details/02-182919","02-182919")</f>
        <v>02-182919</v>
      </c>
      <c r="B1245" s="8" t="s">
        <v>1216</v>
      </c>
    </row>
    <row r="1246" spans="1:2" x14ac:dyDescent="0.3">
      <c r="A1246" s="5" t="str">
        <f>HYPERLINK("http://www.eatonpowersource.com/products/configure/screw-in%20cartridge%20valves/details/02-182920","02-182920")</f>
        <v>02-182920</v>
      </c>
      <c r="B1246" s="6" t="s">
        <v>1217</v>
      </c>
    </row>
    <row r="1247" spans="1:2" x14ac:dyDescent="0.3">
      <c r="A1247" s="7" t="str">
        <f>HYPERLINK("http://www.eatonpowersource.com/products/configure/screw-in%20cartridge%20valves/details/02-182921","02-182921")</f>
        <v>02-182921</v>
      </c>
      <c r="B1247" s="8" t="s">
        <v>1218</v>
      </c>
    </row>
    <row r="1248" spans="1:2" x14ac:dyDescent="0.3">
      <c r="A1248" s="5" t="str">
        <f>HYPERLINK("http://www.eatonpowersource.com/products/configure/screw-in%20cartridge%20valves/details/02-183289","02-183289")</f>
        <v>02-183289</v>
      </c>
      <c r="B1248" s="6" t="s">
        <v>1219</v>
      </c>
    </row>
    <row r="1249" spans="1:2" x14ac:dyDescent="0.3">
      <c r="A1249" s="7" t="str">
        <f>HYPERLINK("http://www.eatonpowersource.com/products/configure/screw-in%20cartridge%20valves/details/02-183443","02-183443")</f>
        <v>02-183443</v>
      </c>
      <c r="B1249" s="8" t="s">
        <v>1220</v>
      </c>
    </row>
    <row r="1250" spans="1:2" x14ac:dyDescent="0.3">
      <c r="A1250" s="5" t="str">
        <f>HYPERLINK("http://www.eatonpowersource.com/products/configure/screw-in%20cartridge%20valves/details/02-198421","02-198421")</f>
        <v>02-198421</v>
      </c>
      <c r="B1250" s="6" t="s">
        <v>1221</v>
      </c>
    </row>
    <row r="1251" spans="1:2" x14ac:dyDescent="0.3">
      <c r="A1251" s="7" t="str">
        <f>HYPERLINK("http://www.eatonpowersource.com/products/configure/screw-in%20cartridge%20valves/details/02-199172","02-199172")</f>
        <v>02-199172</v>
      </c>
      <c r="B1251" s="8" t="s">
        <v>1222</v>
      </c>
    </row>
    <row r="1252" spans="1:2" x14ac:dyDescent="0.3">
      <c r="A1252" s="5" t="str">
        <f>HYPERLINK("http://www.eatonpowersource.com/products/configure/screw-in%20cartridge%20valves/details/02-199189","02-199189")</f>
        <v>02-199189</v>
      </c>
      <c r="B1252" s="6" t="s">
        <v>1223</v>
      </c>
    </row>
    <row r="1253" spans="1:2" x14ac:dyDescent="0.3">
      <c r="A1253" s="7" t="str">
        <f>HYPERLINK("http://www.eatonpowersource.com/products/configure/screw-in%20cartridge%20valves/details/02-199201","02-199201")</f>
        <v>02-199201</v>
      </c>
      <c r="B1253" s="8" t="s">
        <v>1224</v>
      </c>
    </row>
    <row r="1254" spans="1:2" x14ac:dyDescent="0.3">
      <c r="A1254" s="5" t="str">
        <f>HYPERLINK("http://www.eatonpowersource.com/products/configure/screw-in%20cartridge%20valves/details/02-199202","02-199202")</f>
        <v>02-199202</v>
      </c>
      <c r="B1254" s="6" t="s">
        <v>1225</v>
      </c>
    </row>
    <row r="1255" spans="1:2" x14ac:dyDescent="0.3">
      <c r="A1255" s="7" t="str">
        <f>HYPERLINK("http://www.eatonpowersource.com/products/configure/screw-in%20cartridge%20valves/details/02-199203","02-199203")</f>
        <v>02-199203</v>
      </c>
      <c r="B1255" s="8" t="s">
        <v>1226</v>
      </c>
    </row>
    <row r="1256" spans="1:2" x14ac:dyDescent="0.3">
      <c r="A1256" s="5" t="str">
        <f>HYPERLINK("http://www.eatonpowersource.com/products/configure/screw-in%20cartridge%20valves/details/02-199283","02-199283")</f>
        <v>02-199283</v>
      </c>
      <c r="B1256" s="6" t="s">
        <v>1227</v>
      </c>
    </row>
    <row r="1257" spans="1:2" x14ac:dyDescent="0.3">
      <c r="A1257" s="7" t="str">
        <f>HYPERLINK("http://www.eatonpowersource.com/products/configure/screw-in%20cartridge%20valves/details/02-200236","02-200236")</f>
        <v>02-200236</v>
      </c>
      <c r="B1257" s="8" t="s">
        <v>1228</v>
      </c>
    </row>
    <row r="1258" spans="1:2" x14ac:dyDescent="0.3">
      <c r="A1258" s="5" t="str">
        <f>HYPERLINK("http://www.eatonpowersource.com/products/configure/screw-in%20cartridge%20valves/details/02-200276","02-200276")</f>
        <v>02-200276</v>
      </c>
      <c r="B1258" s="6" t="s">
        <v>1229</v>
      </c>
    </row>
    <row r="1259" spans="1:2" x14ac:dyDescent="0.3">
      <c r="A1259" s="7" t="str">
        <f>HYPERLINK("http://www.eatonpowersource.com/products/configure/screw-in%20cartridge%20valves/details/02-200369","02-200369")</f>
        <v>02-200369</v>
      </c>
      <c r="B1259" s="8" t="s">
        <v>1230</v>
      </c>
    </row>
    <row r="1260" spans="1:2" x14ac:dyDescent="0.3">
      <c r="A1260" s="5" t="str">
        <f>HYPERLINK("http://www.eatonpowersource.com/products/configure/screw-in%20cartridge%20valves/details/02-201387","02-201387")</f>
        <v>02-201387</v>
      </c>
      <c r="B1260" s="6" t="s">
        <v>1231</v>
      </c>
    </row>
    <row r="1261" spans="1:2" x14ac:dyDescent="0.3">
      <c r="A1261" s="7" t="str">
        <f>HYPERLINK("http://www.eatonpowersource.com/products/configure/screw-in%20cartridge%20valves/details/305aa00007a","305AA00007A")</f>
        <v>305AA00007A</v>
      </c>
      <c r="B1261" s="8" t="s">
        <v>1232</v>
      </c>
    </row>
    <row r="1262" spans="1:2" x14ac:dyDescent="0.3">
      <c r="A1262" s="5" t="str">
        <f>HYPERLINK("http://www.eatonpowersource.com/products/configure/screw-in%20cartridge%20valves/details/305aa00078a","305AA00078A")</f>
        <v>305AA00078A</v>
      </c>
      <c r="B1262" s="6" t="s">
        <v>1233</v>
      </c>
    </row>
    <row r="1263" spans="1:2" x14ac:dyDescent="0.3">
      <c r="A1263" s="7" t="str">
        <f>HYPERLINK("http://www.eatonpowersource.com/products/configure/screw-in%20cartridge%20valves/details/305aa00118a","305AA00118A")</f>
        <v>305AA00118A</v>
      </c>
      <c r="B1263" s="8" t="s">
        <v>1234</v>
      </c>
    </row>
    <row r="1264" spans="1:2" x14ac:dyDescent="0.3">
      <c r="A1264" s="5" t="str">
        <f>HYPERLINK("http://www.eatonpowersource.com/products/configure/screw-in%20cartridge%20valves/details/305aa00203a","305AA00203A")</f>
        <v>305AA00203A</v>
      </c>
      <c r="B1264" s="6" t="s">
        <v>1235</v>
      </c>
    </row>
    <row r="1265" spans="1:2" x14ac:dyDescent="0.3">
      <c r="A1265" s="7" t="str">
        <f>HYPERLINK("http://www.eatonpowersource.com/products/configure/screw-in%20cartridge%20valves/details/305aa00207a","305AA00207A")</f>
        <v>305AA00207A</v>
      </c>
      <c r="B1265" s="8" t="s">
        <v>1236</v>
      </c>
    </row>
    <row r="1266" spans="1:2" x14ac:dyDescent="0.3">
      <c r="A1266" s="5" t="str">
        <f>HYPERLINK("http://www.eatonpowersource.com/products/configure/screw-in%20cartridge%20valves/details/305aa00251a","305AA00251A")</f>
        <v>305AA00251A</v>
      </c>
      <c r="B1266" s="6" t="s">
        <v>1237</v>
      </c>
    </row>
    <row r="1267" spans="1:2" x14ac:dyDescent="0.3">
      <c r="A1267" s="7" t="str">
        <f>HYPERLINK("http://www.eatonpowersource.com/products/configure/screw-in%20cartridge%20valves/details/305aa00337a","305AA00337A")</f>
        <v>305AA00337A</v>
      </c>
      <c r="B1267" s="8" t="s">
        <v>1238</v>
      </c>
    </row>
    <row r="1268" spans="1:2" x14ac:dyDescent="0.3">
      <c r="A1268" s="5" t="str">
        <f>HYPERLINK("http://www.eatonpowersource.com/products/configure/screw-in%20cartridge%20valves/details/405aa00002a","405AA00002A")</f>
        <v>405AA00002A</v>
      </c>
      <c r="B1268" s="6" t="s">
        <v>1239</v>
      </c>
    </row>
    <row r="1269" spans="1:2" x14ac:dyDescent="0.3">
      <c r="A1269" s="7" t="str">
        <f>HYPERLINK("http://www.eatonpowersource.com/products/configure/screw-in%20cartridge%20valves/details/405aa00009a","405AA00009A")</f>
        <v>405AA00009A</v>
      </c>
      <c r="B1269" s="8" t="s">
        <v>1240</v>
      </c>
    </row>
    <row r="1270" spans="1:2" x14ac:dyDescent="0.3">
      <c r="A1270" s="5" t="str">
        <f>HYPERLINK("http://www.eatonpowersource.com/products/configure/screw-in%20cartridge%20valves/details/405aa00016a","405AA00016A")</f>
        <v>405AA00016A</v>
      </c>
      <c r="B1270" s="6" t="s">
        <v>1241</v>
      </c>
    </row>
    <row r="1271" spans="1:2" x14ac:dyDescent="0.3">
      <c r="A1271" s="7" t="str">
        <f>HYPERLINK("http://www.eatonpowersource.com/products/configure/screw-in%20cartridge%20valves/details/405aa00018a","405AA00018A")</f>
        <v>405AA00018A</v>
      </c>
      <c r="B1271" s="8" t="s">
        <v>1242</v>
      </c>
    </row>
    <row r="1272" spans="1:2" x14ac:dyDescent="0.3">
      <c r="A1272" s="5" t="str">
        <f>HYPERLINK("http://www.eatonpowersource.com/products/configure/screw-in%20cartridge%20valves/details/405aa00020a","405AA00020A")</f>
        <v>405AA00020A</v>
      </c>
      <c r="B1272" s="6" t="s">
        <v>1243</v>
      </c>
    </row>
    <row r="1273" spans="1:2" x14ac:dyDescent="0.3">
      <c r="A1273" s="7" t="str">
        <f>HYPERLINK("http://www.eatonpowersource.com/products/configure/screw-in%20cartridge%20valves/details/405aa00021a","405AA00021A")</f>
        <v>405AA00021A</v>
      </c>
      <c r="B1273" s="8" t="s">
        <v>1244</v>
      </c>
    </row>
    <row r="1274" spans="1:2" x14ac:dyDescent="0.3">
      <c r="A1274" s="5" t="str">
        <f>HYPERLINK("http://www.eatonpowersource.com/products/configure/screw-in%20cartridge%20valves/details/405aa00036a","405AA00036A")</f>
        <v>405AA00036A</v>
      </c>
      <c r="B1274" s="6" t="s">
        <v>1245</v>
      </c>
    </row>
    <row r="1275" spans="1:2" x14ac:dyDescent="0.3">
      <c r="A1275" s="7" t="str">
        <f>HYPERLINK("http://www.eatonpowersource.com/products/configure/screw-in%20cartridge%20valves/details/405aa00037a","405AA00037A")</f>
        <v>405AA00037A</v>
      </c>
      <c r="B1275" s="8" t="s">
        <v>1246</v>
      </c>
    </row>
    <row r="1276" spans="1:2" x14ac:dyDescent="0.3">
      <c r="A1276" s="5" t="str">
        <f>HYPERLINK("http://www.eatonpowersource.com/products/configure/screw-in%20cartridge%20valves/details/405aa00038a","405AA00038A")</f>
        <v>405AA00038A</v>
      </c>
      <c r="B1276" s="6" t="s">
        <v>1247</v>
      </c>
    </row>
    <row r="1277" spans="1:2" x14ac:dyDescent="0.3">
      <c r="A1277" s="7" t="str">
        <f>HYPERLINK("http://www.eatonpowersource.com/products/configure/screw-in%20cartridge%20valves/details/405aa00039a","405AA00039A")</f>
        <v>405AA00039A</v>
      </c>
      <c r="B1277" s="8" t="s">
        <v>1248</v>
      </c>
    </row>
    <row r="1278" spans="1:2" x14ac:dyDescent="0.3">
      <c r="A1278" s="5" t="str">
        <f>HYPERLINK("http://www.eatonpowersource.com/products/configure/screw-in%20cartridge%20valves/details/405aa00040a","405AA00040A")</f>
        <v>405AA00040A</v>
      </c>
      <c r="B1278" s="6" t="s">
        <v>1249</v>
      </c>
    </row>
    <row r="1279" spans="1:2" x14ac:dyDescent="0.3">
      <c r="A1279" s="7" t="str">
        <f>HYPERLINK("http://www.eatonpowersource.com/products/configure/screw-in%20cartridge%20valves/details/405aa00044a","405AA00044A")</f>
        <v>405AA00044A</v>
      </c>
      <c r="B1279" s="8" t="s">
        <v>1250</v>
      </c>
    </row>
    <row r="1280" spans="1:2" x14ac:dyDescent="0.3">
      <c r="A1280" s="5" t="str">
        <f>HYPERLINK("http://www.eatonpowersource.com/products/configure/screw-in%20cartridge%20valves/details/405aa00052a","405AA00052A")</f>
        <v>405AA00052A</v>
      </c>
      <c r="B1280" s="6" t="s">
        <v>1251</v>
      </c>
    </row>
    <row r="1281" spans="1:2" x14ac:dyDescent="0.3">
      <c r="A1281" s="7" t="str">
        <f>HYPERLINK("http://www.eatonpowersource.com/products/configure/screw-in%20cartridge%20valves/details/405aa00053a","405AA00053A")</f>
        <v>405AA00053A</v>
      </c>
      <c r="B1281" s="8" t="s">
        <v>1252</v>
      </c>
    </row>
    <row r="1282" spans="1:2" x14ac:dyDescent="0.3">
      <c r="A1282" s="5" t="str">
        <f>HYPERLINK("http://www.eatonpowersource.com/products/configure/screw-in%20cartridge%20valves/details/405aa00054a","405AA00054A")</f>
        <v>405AA00054A</v>
      </c>
      <c r="B1282" s="6" t="s">
        <v>1253</v>
      </c>
    </row>
    <row r="1283" spans="1:2" x14ac:dyDescent="0.3">
      <c r="A1283" s="7" t="str">
        <f>HYPERLINK("http://www.eatonpowersource.com/products/configure/screw-in%20cartridge%20valves/details/405aa00057a","405AA00057A")</f>
        <v>405AA00057A</v>
      </c>
      <c r="B1283" s="8" t="s">
        <v>1254</v>
      </c>
    </row>
    <row r="1284" spans="1:2" x14ac:dyDescent="0.3">
      <c r="A1284" s="5" t="str">
        <f>HYPERLINK("http://www.eatonpowersource.com/products/configure/screw-in%20cartridge%20valves/details/405aa00067a","405AA00067A")</f>
        <v>405AA00067A</v>
      </c>
      <c r="B1284" s="6" t="s">
        <v>1255</v>
      </c>
    </row>
    <row r="1285" spans="1:2" x14ac:dyDescent="0.3">
      <c r="A1285" s="7" t="str">
        <f>HYPERLINK("http://www.eatonpowersource.com/products/configure/screw-in%20cartridge%20valves/details/405aa00075a","405AA00075A")</f>
        <v>405AA00075A</v>
      </c>
      <c r="B1285" s="8" t="s">
        <v>1256</v>
      </c>
    </row>
    <row r="1286" spans="1:2" x14ac:dyDescent="0.3">
      <c r="A1286" s="5" t="str">
        <f>HYPERLINK("http://www.eatonpowersource.com/products/configure/screw-in%20cartridge%20valves/details/405aa00078a","405AA00078A")</f>
        <v>405AA00078A</v>
      </c>
      <c r="B1286" s="6" t="s">
        <v>1257</v>
      </c>
    </row>
    <row r="1287" spans="1:2" x14ac:dyDescent="0.3">
      <c r="A1287" s="7" t="str">
        <f>HYPERLINK("http://www.eatonpowersource.com/products/configure/screw-in%20cartridge%20valves/details/405aa00093a","405AA00093A")</f>
        <v>405AA00093A</v>
      </c>
      <c r="B1287" s="8" t="s">
        <v>1258</v>
      </c>
    </row>
    <row r="1288" spans="1:2" x14ac:dyDescent="0.3">
      <c r="A1288" s="5" t="str">
        <f>HYPERLINK("http://www.eatonpowersource.com/products/configure/screw-in%20cartridge%20valves/details/405aa00094a","405AA00094A")</f>
        <v>405AA00094A</v>
      </c>
      <c r="B1288" s="6" t="s">
        <v>1259</v>
      </c>
    </row>
    <row r="1289" spans="1:2" x14ac:dyDescent="0.3">
      <c r="A1289" s="7" t="str">
        <f>HYPERLINK("http://www.eatonpowersource.com/products/configure/screw-in%20cartridge%20valves/details/405aa00108a","405AA00108A")</f>
        <v>405AA00108A</v>
      </c>
      <c r="B1289" s="8" t="s">
        <v>1260</v>
      </c>
    </row>
    <row r="1290" spans="1:2" x14ac:dyDescent="0.3">
      <c r="A1290" s="5" t="str">
        <f>HYPERLINK("http://www.eatonpowersource.com/products/configure/screw-in%20cartridge%20valves/details/405aa00121a","405AA00121A")</f>
        <v>405AA00121A</v>
      </c>
      <c r="B1290" s="6" t="s">
        <v>1261</v>
      </c>
    </row>
    <row r="1291" spans="1:2" x14ac:dyDescent="0.3">
      <c r="A1291" s="7" t="str">
        <f>HYPERLINK("http://www.eatonpowersource.com/products/configure/screw-in%20cartridge%20valves/details/405aa00122a","405AA00122A")</f>
        <v>405AA00122A</v>
      </c>
      <c r="B1291" s="8" t="s">
        <v>1262</v>
      </c>
    </row>
    <row r="1292" spans="1:2" x14ac:dyDescent="0.3">
      <c r="A1292" s="5" t="str">
        <f>HYPERLINK("http://www.eatonpowersource.com/products/configure/screw-in%20cartridge%20valves/details/405aa00125a","405AA00125A")</f>
        <v>405AA00125A</v>
      </c>
      <c r="B1292" s="6" t="s">
        <v>1263</v>
      </c>
    </row>
    <row r="1293" spans="1:2" x14ac:dyDescent="0.3">
      <c r="A1293" s="7" t="str">
        <f>HYPERLINK("http://www.eatonpowersource.com/products/configure/screw-in%20cartridge%20valves/details/405aa00141a","405AA00141A")</f>
        <v>405AA00141A</v>
      </c>
      <c r="B1293" s="8" t="s">
        <v>1264</v>
      </c>
    </row>
    <row r="1294" spans="1:2" x14ac:dyDescent="0.3">
      <c r="A1294" s="5" t="str">
        <f>HYPERLINK("http://www.eatonpowersource.com/products/configure/screw-in%20cartridge%20valves/details/405aa00145a","405AA00145A")</f>
        <v>405AA00145A</v>
      </c>
      <c r="B1294" s="6" t="s">
        <v>1265</v>
      </c>
    </row>
    <row r="1295" spans="1:2" x14ac:dyDescent="0.3">
      <c r="A1295" s="7" t="str">
        <f>HYPERLINK("http://www.eatonpowersource.com/products/configure/screw-in%20cartridge%20valves/details/405aa00147a","405AA00147A")</f>
        <v>405AA00147A</v>
      </c>
      <c r="B1295" s="8" t="s">
        <v>1266</v>
      </c>
    </row>
    <row r="1296" spans="1:2" x14ac:dyDescent="0.3">
      <c r="A1296" s="5" t="str">
        <f>HYPERLINK("http://www.eatonpowersource.com/products/configure/screw-in%20cartridge%20valves/details/405aa00195a","405AA00195A")</f>
        <v>405AA00195A</v>
      </c>
      <c r="B1296" s="6" t="s">
        <v>1267</v>
      </c>
    </row>
    <row r="1297" spans="1:2" x14ac:dyDescent="0.3">
      <c r="A1297" s="7" t="str">
        <f>HYPERLINK("http://www.eatonpowersource.com/products/configure/screw-in%20cartridge%20valves/details/405aa00307a","405AA00307A")</f>
        <v>405AA00307A</v>
      </c>
      <c r="B1297" s="8" t="s">
        <v>1268</v>
      </c>
    </row>
    <row r="1298" spans="1:2" x14ac:dyDescent="0.3">
      <c r="A1298" s="5" t="str">
        <f>HYPERLINK("http://www.eatonpowersource.com/products/configure/screw-in%20cartridge%20valves/details/405aa00316a","405AA00316A")</f>
        <v>405AA00316A</v>
      </c>
      <c r="B1298" s="6" t="s">
        <v>1269</v>
      </c>
    </row>
    <row r="1299" spans="1:2" x14ac:dyDescent="0.3">
      <c r="A1299" s="7" t="str">
        <f>HYPERLINK("http://www.eatonpowersource.com/products/configure/screw-in%20cartridge%20valves/details/405aa00325a","405AA00325A")</f>
        <v>405AA00325A</v>
      </c>
      <c r="B1299" s="8" t="s">
        <v>1270</v>
      </c>
    </row>
    <row r="1300" spans="1:2" x14ac:dyDescent="0.3">
      <c r="A1300" s="5" t="str">
        <f>HYPERLINK("http://www.eatonpowersource.com/products/configure/screw-in%20cartridge%20valves/details/405aa00367a","405AA00367A")</f>
        <v>405AA00367A</v>
      </c>
      <c r="B1300" s="6" t="s">
        <v>1271</v>
      </c>
    </row>
    <row r="1301" spans="1:2" x14ac:dyDescent="0.3">
      <c r="A1301" s="7" t="str">
        <f>HYPERLINK("http://www.eatonpowersource.com/products/configure/screw-in%20cartridge%20valves/details/405aa00370a","405AA00370A")</f>
        <v>405AA00370A</v>
      </c>
      <c r="B1301" s="8" t="s">
        <v>1272</v>
      </c>
    </row>
    <row r="1302" spans="1:2" x14ac:dyDescent="0.3">
      <c r="A1302" s="5" t="str">
        <f>HYPERLINK("http://www.eatonpowersource.com/products/configure/screw-in%20cartridge%20valves/details/405aa00374a","405AA00374A")</f>
        <v>405AA00374A</v>
      </c>
      <c r="B1302" s="6" t="s">
        <v>1273</v>
      </c>
    </row>
    <row r="1303" spans="1:2" x14ac:dyDescent="0.3">
      <c r="A1303" s="7" t="str">
        <f>HYPERLINK("http://www.eatonpowersource.com/products/configure/screw-in%20cartridge%20valves/details/405aa00405a","405AA00405A")</f>
        <v>405AA00405A</v>
      </c>
      <c r="B1303" s="8" t="s">
        <v>1274</v>
      </c>
    </row>
    <row r="1304" spans="1:2" x14ac:dyDescent="0.3">
      <c r="A1304" s="5" t="str">
        <f>HYPERLINK("http://www.eatonpowersource.com/products/configure/screw-in%20cartridge%20valves/details/405aa00408a","405AA00408A")</f>
        <v>405AA00408A</v>
      </c>
      <c r="B1304" s="6" t="s">
        <v>1275</v>
      </c>
    </row>
    <row r="1305" spans="1:2" x14ac:dyDescent="0.3">
      <c r="A1305" s="7" t="str">
        <f>HYPERLINK("http://www.eatonpowersource.com/products/configure/screw-in%20cartridge%20valves/details/405aa00409a","405AA00409A")</f>
        <v>405AA00409A</v>
      </c>
      <c r="B1305" s="8" t="s">
        <v>1276</v>
      </c>
    </row>
    <row r="1306" spans="1:2" x14ac:dyDescent="0.3">
      <c r="A1306" s="5" t="str">
        <f>HYPERLINK("http://www.eatonpowersource.com/products/configure/screw-in%20cartridge%20valves/details/405aa00411a","405AA00411A")</f>
        <v>405AA00411A</v>
      </c>
      <c r="B1306" s="6" t="s">
        <v>1277</v>
      </c>
    </row>
    <row r="1307" spans="1:2" x14ac:dyDescent="0.3">
      <c r="A1307" s="7" t="str">
        <f>HYPERLINK("http://www.eatonpowersource.com/products/configure/screw-in%20cartridge%20valves/details/405aa00414a","405AA00414A")</f>
        <v>405AA00414A</v>
      </c>
      <c r="B1307" s="8" t="s">
        <v>1278</v>
      </c>
    </row>
    <row r="1308" spans="1:2" x14ac:dyDescent="0.3">
      <c r="A1308" s="5" t="str">
        <f>HYPERLINK("http://www.eatonpowersource.com/products/configure/screw-in%20cartridge%20valves/details/405aa00425a","405AA00425A")</f>
        <v>405AA00425A</v>
      </c>
      <c r="B1308" s="6" t="s">
        <v>1279</v>
      </c>
    </row>
    <row r="1309" spans="1:2" x14ac:dyDescent="0.3">
      <c r="A1309" s="7" t="str">
        <f>HYPERLINK("http://www.eatonpowersource.com/products/configure/screw-in%20cartridge%20valves/details/405aa00432a","405AA00432A")</f>
        <v>405AA00432A</v>
      </c>
      <c r="B1309" s="8" t="s">
        <v>1280</v>
      </c>
    </row>
    <row r="1310" spans="1:2" x14ac:dyDescent="0.3">
      <c r="A1310" s="5" t="str">
        <f>HYPERLINK("http://www.eatonpowersource.com/products/configure/screw-in%20cartridge%20valves/details/405aa00436a","405AA00436A")</f>
        <v>405AA00436A</v>
      </c>
      <c r="B1310" s="6" t="s">
        <v>1281</v>
      </c>
    </row>
    <row r="1311" spans="1:2" x14ac:dyDescent="0.3">
      <c r="A1311" s="7" t="str">
        <f>HYPERLINK("http://www.eatonpowersource.com/products/configure/screw-in%20cartridge%20valves/details/405aa00438a","405AA00438A")</f>
        <v>405AA00438A</v>
      </c>
      <c r="B1311" s="8" t="s">
        <v>1282</v>
      </c>
    </row>
    <row r="1312" spans="1:2" x14ac:dyDescent="0.3">
      <c r="A1312" s="5" t="str">
        <f>HYPERLINK("http://www.eatonpowersource.com/products/configure/screw-in%20cartridge%20valves/details/405aa00440a","405AA00440A")</f>
        <v>405AA00440A</v>
      </c>
      <c r="B1312" s="6" t="s">
        <v>1283</v>
      </c>
    </row>
    <row r="1313" spans="1:2" x14ac:dyDescent="0.3">
      <c r="A1313" s="7" t="str">
        <f>HYPERLINK("http://www.eatonpowersource.com/products/configure/screw-in%20cartridge%20valves/details/405aa00447a","405AA00447A")</f>
        <v>405AA00447A</v>
      </c>
      <c r="B1313" s="8" t="s">
        <v>1284</v>
      </c>
    </row>
    <row r="1314" spans="1:2" x14ac:dyDescent="0.3">
      <c r="A1314" s="5" t="str">
        <f>HYPERLINK("http://www.eatonpowersource.com/products/configure/screw-in%20cartridge%20valves/details/405aa00461a","405AA00461A")</f>
        <v>405AA00461A</v>
      </c>
      <c r="B1314" s="6" t="s">
        <v>1285</v>
      </c>
    </row>
    <row r="1315" spans="1:2" x14ac:dyDescent="0.3">
      <c r="A1315" s="7" t="str">
        <f>HYPERLINK("http://www.eatonpowersource.com/products/configure/screw-in%20cartridge%20valves/details/405aa00484a","405AA00484A")</f>
        <v>405AA00484A</v>
      </c>
      <c r="B1315" s="8" t="s">
        <v>1286</v>
      </c>
    </row>
    <row r="1316" spans="1:2" x14ac:dyDescent="0.3">
      <c r="A1316" s="5" t="str">
        <f>HYPERLINK("http://www.eatonpowersource.com/products/configure/screw-in%20cartridge%20valves/details/405aa00488a","405AA00488A")</f>
        <v>405AA00488A</v>
      </c>
      <c r="B1316" s="6" t="s">
        <v>1287</v>
      </c>
    </row>
    <row r="1317" spans="1:2" x14ac:dyDescent="0.3">
      <c r="A1317" s="7" t="str">
        <f>HYPERLINK("http://www.eatonpowersource.com/products/configure/screw-in%20cartridge%20valves/details/405aa00493a","405AA00493A")</f>
        <v>405AA00493A</v>
      </c>
      <c r="B1317" s="8" t="s">
        <v>1288</v>
      </c>
    </row>
    <row r="1318" spans="1:2" x14ac:dyDescent="0.3">
      <c r="A1318" s="5" t="str">
        <f>HYPERLINK("http://www.eatonpowersource.com/products/configure/screw-in%20cartridge%20valves/details/405aa00499a","405AA00499A")</f>
        <v>405AA00499A</v>
      </c>
      <c r="B1318" s="6" t="s">
        <v>1289</v>
      </c>
    </row>
    <row r="1319" spans="1:2" x14ac:dyDescent="0.3">
      <c r="A1319" s="7" t="str">
        <f>HYPERLINK("http://www.eatonpowersource.com/products/configure/screw-in%20cartridge%20valves/details/405aa00500a","405AA00500A")</f>
        <v>405AA00500A</v>
      </c>
      <c r="B1319" s="8" t="s">
        <v>1290</v>
      </c>
    </row>
    <row r="1320" spans="1:2" x14ac:dyDescent="0.3">
      <c r="A1320" s="5" t="str">
        <f>HYPERLINK("http://www.eatonpowersource.com/products/configure/screw-in%20cartridge%20valves/details/405aa00506a","405AA00506A")</f>
        <v>405AA00506A</v>
      </c>
      <c r="B1320" s="6" t="s">
        <v>1291</v>
      </c>
    </row>
    <row r="1321" spans="1:2" x14ac:dyDescent="0.3">
      <c r="A1321" s="7" t="str">
        <f>HYPERLINK("http://www.eatonpowersource.com/products/configure/screw-in%20cartridge%20valves/details/405aa00511a","405AA00511A")</f>
        <v>405AA00511A</v>
      </c>
      <c r="B1321" s="8" t="s">
        <v>1292</v>
      </c>
    </row>
    <row r="1322" spans="1:2" x14ac:dyDescent="0.3">
      <c r="A1322" s="5" t="str">
        <f>HYPERLINK("http://www.eatonpowersource.com/products/configure/screw-in%20cartridge%20valves/details/405aa00512a","405AA00512A")</f>
        <v>405AA00512A</v>
      </c>
      <c r="B1322" s="6" t="s">
        <v>1293</v>
      </c>
    </row>
    <row r="1323" spans="1:2" x14ac:dyDescent="0.3">
      <c r="A1323" s="7" t="str">
        <f>HYPERLINK("http://www.eatonpowersource.com/products/configure/screw-in%20cartridge%20valves/details/405aa00525a","405AA00525A")</f>
        <v>405AA00525A</v>
      </c>
      <c r="B1323" s="8" t="s">
        <v>1294</v>
      </c>
    </row>
    <row r="1324" spans="1:2" x14ac:dyDescent="0.3">
      <c r="A1324" s="5" t="str">
        <f>HYPERLINK("http://www.eatonpowersource.com/products/configure/screw-in%20cartridge%20valves/details/405aa00533a","405AA00533A")</f>
        <v>405AA00533A</v>
      </c>
      <c r="B1324" s="6" t="s">
        <v>1295</v>
      </c>
    </row>
    <row r="1325" spans="1:2" x14ac:dyDescent="0.3">
      <c r="A1325" s="7" t="str">
        <f>HYPERLINK("http://www.eatonpowersource.com/products/configure/screw-in%20cartridge%20valves/details/405aa00545a","405AA00545A")</f>
        <v>405AA00545A</v>
      </c>
      <c r="B1325" s="8" t="s">
        <v>1296</v>
      </c>
    </row>
    <row r="1326" spans="1:2" x14ac:dyDescent="0.3">
      <c r="A1326" s="5" t="str">
        <f>HYPERLINK("http://www.eatonpowersource.com/products/configure/screw-in%20cartridge%20valves/details/405aa00557a","405AA00557A")</f>
        <v>405AA00557A</v>
      </c>
      <c r="B1326" s="6" t="s">
        <v>1297</v>
      </c>
    </row>
    <row r="1327" spans="1:2" x14ac:dyDescent="0.3">
      <c r="A1327" s="7" t="str">
        <f>HYPERLINK("http://www.eatonpowersource.com/products/configure/screw-in%20cartridge%20valves/details/405aa00564a","405AA00564A")</f>
        <v>405AA00564A</v>
      </c>
      <c r="B1327" s="8" t="s">
        <v>1298</v>
      </c>
    </row>
    <row r="1328" spans="1:2" x14ac:dyDescent="0.3">
      <c r="A1328" s="5" t="str">
        <f>HYPERLINK("http://www.eatonpowersource.com/products/configure/screw-in%20cartridge%20valves/details/405aa00569a","405AA00569A")</f>
        <v>405AA00569A</v>
      </c>
      <c r="B1328" s="6" t="s">
        <v>1299</v>
      </c>
    </row>
    <row r="1329" spans="1:2" x14ac:dyDescent="0.3">
      <c r="A1329" s="7" t="str">
        <f>HYPERLINK("http://www.eatonpowersource.com/products/configure/screw-in%20cartridge%20valves/details/405aa00570a","405AA00570A")</f>
        <v>405AA00570A</v>
      </c>
      <c r="B1329" s="8" t="s">
        <v>1300</v>
      </c>
    </row>
    <row r="1330" spans="1:2" x14ac:dyDescent="0.3">
      <c r="A1330" s="5" t="str">
        <f>HYPERLINK("http://www.eatonpowersource.com/products/configure/screw-in%20cartridge%20valves/details/405aa00611a","405AA00611A")</f>
        <v>405AA00611A</v>
      </c>
      <c r="B1330" s="6" t="s">
        <v>1301</v>
      </c>
    </row>
    <row r="1331" spans="1:2" x14ac:dyDescent="0.3">
      <c r="A1331" s="7" t="str">
        <f>HYPERLINK("http://www.eatonpowersource.com/products/configure/screw-in%20cartridge%20valves/details/405aa00613a","405AA00613A")</f>
        <v>405AA00613A</v>
      </c>
      <c r="B1331" s="8" t="s">
        <v>1302</v>
      </c>
    </row>
    <row r="1332" spans="1:2" x14ac:dyDescent="0.3">
      <c r="A1332" s="5" t="str">
        <f>HYPERLINK("http://www.eatonpowersource.com/products/configure/screw-in%20cartridge%20valves/details/405aa00656a","405AA00656A")</f>
        <v>405AA00656A</v>
      </c>
      <c r="B1332" s="6" t="s">
        <v>1303</v>
      </c>
    </row>
    <row r="1333" spans="1:2" x14ac:dyDescent="0.3">
      <c r="A1333" s="7" t="str">
        <f>HYPERLINK("http://www.eatonpowersource.com/products/configure/screw-in%20cartridge%20valves/details/405aa00679a","405AA00679A")</f>
        <v>405AA00679A</v>
      </c>
      <c r="B1333" s="8" t="s">
        <v>1304</v>
      </c>
    </row>
    <row r="1334" spans="1:2" x14ac:dyDescent="0.3">
      <c r="A1334" s="5" t="str">
        <f>HYPERLINK("http://www.eatonpowersource.com/products/configure/screw-in%20cartridge%20valves/details/405aa00873a","405AA00873A")</f>
        <v>405AA00873A</v>
      </c>
      <c r="B1334" s="6" t="s">
        <v>1305</v>
      </c>
    </row>
    <row r="1335" spans="1:2" x14ac:dyDescent="0.3">
      <c r="A1335" s="7" t="str">
        <f>HYPERLINK("http://www.eatonpowersource.com/products/configure/screw-in%20cartridge%20valves/details/405aa00893a","405AA00893A")</f>
        <v>405AA00893A</v>
      </c>
      <c r="B1335" s="8" t="s">
        <v>1306</v>
      </c>
    </row>
    <row r="1336" spans="1:2" x14ac:dyDescent="0.3">
      <c r="A1336" s="5" t="str">
        <f>HYPERLINK("http://www.eatonpowersource.com/products/configure/screw-in%20cartridge%20valves/details/405aa00901a","405AA00901A")</f>
        <v>405AA00901A</v>
      </c>
      <c r="B1336" s="6" t="s">
        <v>1307</v>
      </c>
    </row>
    <row r="1337" spans="1:2" x14ac:dyDescent="0.3">
      <c r="A1337" s="7" t="str">
        <f>HYPERLINK("http://www.eatonpowersource.com/products/configure/screw-in%20cartridge%20valves/details/405aa00909a","405AA00909A")</f>
        <v>405AA00909A</v>
      </c>
      <c r="B1337" s="8" t="s">
        <v>1308</v>
      </c>
    </row>
    <row r="1338" spans="1:2" x14ac:dyDescent="0.3">
      <c r="A1338" s="5" t="str">
        <f>HYPERLINK("http://www.eatonpowersource.com/products/configure/screw-in%20cartridge%20valves/details/405aa00913a","405AA00913A")</f>
        <v>405AA00913A</v>
      </c>
      <c r="B1338" s="6" t="s">
        <v>1309</v>
      </c>
    </row>
    <row r="1339" spans="1:2" x14ac:dyDescent="0.3">
      <c r="A1339" s="7" t="str">
        <f>HYPERLINK("http://www.eatonpowersource.com/products/configure/screw-in%20cartridge%20valves/details/565587","565587")</f>
        <v>565587</v>
      </c>
      <c r="B1339" s="8" t="s">
        <v>1310</v>
      </c>
    </row>
    <row r="1340" spans="1:2" x14ac:dyDescent="0.3">
      <c r="A1340" s="5" t="str">
        <f>HYPERLINK("http://www.eatonpowersource.com/products/configure/screw-in%20cartridge%20valves/details/565589","565589")</f>
        <v>565589</v>
      </c>
      <c r="B1340" s="6" t="s">
        <v>1311</v>
      </c>
    </row>
    <row r="1341" spans="1:2" x14ac:dyDescent="0.3">
      <c r="A1341" s="7" t="str">
        <f>HYPERLINK("http://www.eatonpowersource.com/products/configure/screw-in%20cartridge%20valves/details/565592","565592")</f>
        <v>565592</v>
      </c>
      <c r="B1341" s="8" t="s">
        <v>1312</v>
      </c>
    </row>
    <row r="1342" spans="1:2" x14ac:dyDescent="0.3">
      <c r="A1342" s="5" t="str">
        <f>HYPERLINK("http://www.eatonpowersource.com/products/configure/screw-in%20cartridge%20valves/details/565598","565598")</f>
        <v>565598</v>
      </c>
      <c r="B1342" s="6" t="s">
        <v>1313</v>
      </c>
    </row>
    <row r="1343" spans="1:2" x14ac:dyDescent="0.3">
      <c r="A1343" s="7" t="str">
        <f>HYPERLINK("http://www.eatonpowersource.com/products/configure/screw-in%20cartridge%20valves/details/565599","565599")</f>
        <v>565599</v>
      </c>
      <c r="B1343" s="8" t="s">
        <v>1314</v>
      </c>
    </row>
    <row r="1344" spans="1:2" x14ac:dyDescent="0.3">
      <c r="A1344" s="5" t="str">
        <f>HYPERLINK("http://www.eatonpowersource.com/products/configure/screw-in%20cartridge%20valves/details/565601","565601")</f>
        <v>565601</v>
      </c>
      <c r="B1344" s="6" t="s">
        <v>1315</v>
      </c>
    </row>
    <row r="1345" spans="1:2" x14ac:dyDescent="0.3">
      <c r="A1345" s="7" t="str">
        <f>HYPERLINK("http://www.eatonpowersource.com/products/configure/screw-in%20cartridge%20valves/details/565602","565602")</f>
        <v>565602</v>
      </c>
      <c r="B1345" s="8" t="s">
        <v>1316</v>
      </c>
    </row>
    <row r="1346" spans="1:2" x14ac:dyDescent="0.3">
      <c r="A1346" s="5" t="str">
        <f>HYPERLINK("http://www.eatonpowersource.com/products/configure/screw-in%20cartridge%20valves/details/565603","565603")</f>
        <v>565603</v>
      </c>
      <c r="B1346" s="6" t="s">
        <v>1317</v>
      </c>
    </row>
    <row r="1347" spans="1:2" x14ac:dyDescent="0.3">
      <c r="A1347" s="7" t="str">
        <f>HYPERLINK("http://www.eatonpowersource.com/products/configure/screw-in%20cartridge%20valves/details/565628","565628")</f>
        <v>565628</v>
      </c>
      <c r="B1347" s="8" t="s">
        <v>1318</v>
      </c>
    </row>
    <row r="1348" spans="1:2" x14ac:dyDescent="0.3">
      <c r="A1348" s="5" t="str">
        <f>HYPERLINK("http://www.eatonpowersource.com/products/configure/screw-in%20cartridge%20valves/details/565799","565799")</f>
        <v>565799</v>
      </c>
      <c r="B1348" s="6" t="s">
        <v>1319</v>
      </c>
    </row>
    <row r="1349" spans="1:2" x14ac:dyDescent="0.3">
      <c r="A1349" s="7" t="str">
        <f>HYPERLINK("http://www.eatonpowersource.com/products/configure/screw-in%20cartridge%20valves/details/565800","565800")</f>
        <v>565800</v>
      </c>
      <c r="B1349" s="8" t="s">
        <v>1320</v>
      </c>
    </row>
    <row r="1350" spans="1:2" x14ac:dyDescent="0.3">
      <c r="A1350" s="5" t="str">
        <f>HYPERLINK("http://www.eatonpowersource.com/products/configure/screw-in%20cartridge%20valves/details/565802","565802")</f>
        <v>565802</v>
      </c>
      <c r="B1350" s="6" t="s">
        <v>1321</v>
      </c>
    </row>
    <row r="1351" spans="1:2" x14ac:dyDescent="0.3">
      <c r="A1351" s="7" t="str">
        <f>HYPERLINK("http://www.eatonpowersource.com/products/configure/screw-in%20cartridge%20valves/details/565847","565847")</f>
        <v>565847</v>
      </c>
      <c r="B1351" s="8" t="s">
        <v>1322</v>
      </c>
    </row>
    <row r="1352" spans="1:2" x14ac:dyDescent="0.3">
      <c r="A1352" s="5" t="str">
        <f>HYPERLINK("http://www.eatonpowersource.com/products/configure/screw-in%20cartridge%20valves/details/565873","565873")</f>
        <v>565873</v>
      </c>
      <c r="B1352" s="6" t="s">
        <v>1323</v>
      </c>
    </row>
    <row r="1353" spans="1:2" x14ac:dyDescent="0.3">
      <c r="A1353" s="7" t="str">
        <f>HYPERLINK("http://www.eatonpowersource.com/products/configure/screw-in%20cartridge%20valves/details/565881","565881")</f>
        <v>565881</v>
      </c>
      <c r="B1353" s="8" t="s">
        <v>1324</v>
      </c>
    </row>
    <row r="1354" spans="1:2" x14ac:dyDescent="0.3">
      <c r="A1354" s="5" t="str">
        <f>HYPERLINK("http://www.eatonpowersource.com/products/configure/screw-in%20cartridge%20valves/details/565883","565883")</f>
        <v>565883</v>
      </c>
      <c r="B1354" s="6" t="s">
        <v>1325</v>
      </c>
    </row>
    <row r="1355" spans="1:2" x14ac:dyDescent="0.3">
      <c r="A1355" s="7" t="str">
        <f>HYPERLINK("http://www.eatonpowersource.com/products/configure/screw-in%20cartridge%20valves/details/565890","565890")</f>
        <v>565890</v>
      </c>
      <c r="B1355" s="8" t="s">
        <v>1326</v>
      </c>
    </row>
    <row r="1356" spans="1:2" x14ac:dyDescent="0.3">
      <c r="A1356" s="5" t="str">
        <f>HYPERLINK("http://www.eatonpowersource.com/products/configure/screw-in%20cartridge%20valves/details/565891","565891")</f>
        <v>565891</v>
      </c>
      <c r="B1356" s="6" t="s">
        <v>1327</v>
      </c>
    </row>
    <row r="1357" spans="1:2" x14ac:dyDescent="0.3">
      <c r="A1357" s="7" t="str">
        <f>HYPERLINK("http://www.eatonpowersource.com/products/configure/screw-in%20cartridge%20valves/details/565895","565895")</f>
        <v>565895</v>
      </c>
      <c r="B1357" s="8" t="s">
        <v>1328</v>
      </c>
    </row>
    <row r="1358" spans="1:2" x14ac:dyDescent="0.3">
      <c r="A1358" s="5" t="str">
        <f>HYPERLINK("http://www.eatonpowersource.com/products/configure/screw-in%20cartridge%20valves/details/565898","565898")</f>
        <v>565898</v>
      </c>
      <c r="B1358" s="6" t="s">
        <v>1329</v>
      </c>
    </row>
    <row r="1359" spans="1:2" x14ac:dyDescent="0.3">
      <c r="A1359" s="7" t="str">
        <f>HYPERLINK("http://www.eatonpowersource.com/products/configure/screw-in%20cartridge%20valves/details/565920","565920")</f>
        <v>565920</v>
      </c>
      <c r="B1359" s="8" t="s">
        <v>1330</v>
      </c>
    </row>
    <row r="1360" spans="1:2" x14ac:dyDescent="0.3">
      <c r="A1360" s="5" t="str">
        <f>HYPERLINK("http://www.eatonpowersource.com/products/configure/screw-in%20cartridge%20valves/details/565936","565936")</f>
        <v>565936</v>
      </c>
      <c r="B1360" s="6" t="s">
        <v>1331</v>
      </c>
    </row>
    <row r="1361" spans="1:2" x14ac:dyDescent="0.3">
      <c r="A1361" s="7" t="str">
        <f>HYPERLINK("http://www.eatonpowersource.com/products/configure/screw-in%20cartridge%20valves/details/565945","565945")</f>
        <v>565945</v>
      </c>
      <c r="B1361" s="8" t="s">
        <v>1332</v>
      </c>
    </row>
    <row r="1362" spans="1:2" x14ac:dyDescent="0.3">
      <c r="A1362" s="5" t="str">
        <f>HYPERLINK("http://www.eatonpowersource.com/products/configure/screw-in%20cartridge%20valves/details/565949","565949")</f>
        <v>565949</v>
      </c>
      <c r="B1362" s="6" t="s">
        <v>1333</v>
      </c>
    </row>
    <row r="1363" spans="1:2" x14ac:dyDescent="0.3">
      <c r="A1363" s="7" t="str">
        <f>HYPERLINK("http://www.eatonpowersource.com/products/configure/screw-in%20cartridge%20valves/details/565958","565958")</f>
        <v>565958</v>
      </c>
      <c r="B1363" s="8" t="s">
        <v>1334</v>
      </c>
    </row>
    <row r="1364" spans="1:2" x14ac:dyDescent="0.3">
      <c r="A1364" s="5" t="str">
        <f>HYPERLINK("http://www.eatonpowersource.com/products/configure/screw-in%20cartridge%20valves/details/565975","565975")</f>
        <v>565975</v>
      </c>
      <c r="B1364" s="6" t="s">
        <v>1335</v>
      </c>
    </row>
    <row r="1365" spans="1:2" x14ac:dyDescent="0.3">
      <c r="A1365" s="7" t="str">
        <f>HYPERLINK("http://www.eatonpowersource.com/products/configure/screw-in%20cartridge%20valves/details/565989","565989")</f>
        <v>565989</v>
      </c>
      <c r="B1365" s="8" t="s">
        <v>1336</v>
      </c>
    </row>
    <row r="1366" spans="1:2" x14ac:dyDescent="0.3">
      <c r="A1366" s="5" t="str">
        <f>HYPERLINK("http://www.eatonpowersource.com/products/configure/screw-in%20cartridge%20valves/details/566025","566025")</f>
        <v>566025</v>
      </c>
      <c r="B1366" s="6" t="s">
        <v>1337</v>
      </c>
    </row>
    <row r="1367" spans="1:2" x14ac:dyDescent="0.3">
      <c r="A1367" s="7" t="str">
        <f>HYPERLINK("http://www.eatonpowersource.com/products/configure/screw-in%20cartridge%20valves/details/566042","566042")</f>
        <v>566042</v>
      </c>
      <c r="B1367" s="8" t="s">
        <v>1338</v>
      </c>
    </row>
    <row r="1368" spans="1:2" x14ac:dyDescent="0.3">
      <c r="A1368" s="5" t="str">
        <f>HYPERLINK("http://www.eatonpowersource.com/products/configure/screw-in%20cartridge%20valves/details/566045","566045")</f>
        <v>566045</v>
      </c>
      <c r="B1368" s="6" t="s">
        <v>1339</v>
      </c>
    </row>
    <row r="1369" spans="1:2" x14ac:dyDescent="0.3">
      <c r="A1369" s="7" t="str">
        <f>HYPERLINK("http://www.eatonpowersource.com/products/configure/screw-in%20cartridge%20valves/details/566197","566197")</f>
        <v>566197</v>
      </c>
      <c r="B1369" s="8" t="s">
        <v>1340</v>
      </c>
    </row>
    <row r="1370" spans="1:2" x14ac:dyDescent="0.3">
      <c r="A1370" s="5" t="str">
        <f>HYPERLINK("http://www.eatonpowersource.com/products/configure/screw-in%20cartridge%20valves/details/566215","566215")</f>
        <v>566215</v>
      </c>
      <c r="B1370" s="6" t="s">
        <v>1341</v>
      </c>
    </row>
    <row r="1371" spans="1:2" x14ac:dyDescent="0.3">
      <c r="A1371" s="7" t="str">
        <f>HYPERLINK("http://www.eatonpowersource.com/products/configure/screw-in%20cartridge%20valves/details/566218","566218")</f>
        <v>566218</v>
      </c>
      <c r="B1371" s="8" t="s">
        <v>1342</v>
      </c>
    </row>
    <row r="1372" spans="1:2" x14ac:dyDescent="0.3">
      <c r="A1372" s="5" t="str">
        <f>HYPERLINK("http://www.eatonpowersource.com/products/configure/screw-in%20cartridge%20valves/details/566242","566242")</f>
        <v>566242</v>
      </c>
      <c r="B1372" s="6" t="s">
        <v>1343</v>
      </c>
    </row>
    <row r="1373" spans="1:2" x14ac:dyDescent="0.3">
      <c r="A1373" s="7" t="str">
        <f>HYPERLINK("http://www.eatonpowersource.com/products/configure/screw-in%20cartridge%20valves/details/566252","566252")</f>
        <v>566252</v>
      </c>
      <c r="B1373" s="8" t="s">
        <v>1344</v>
      </c>
    </row>
    <row r="1374" spans="1:2" x14ac:dyDescent="0.3">
      <c r="A1374" s="5" t="str">
        <f>HYPERLINK("http://www.eatonpowersource.com/products/configure/screw-in%20cartridge%20valves/details/566302","566302")</f>
        <v>566302</v>
      </c>
      <c r="B1374" s="6" t="s">
        <v>1345</v>
      </c>
    </row>
    <row r="1375" spans="1:2" x14ac:dyDescent="0.3">
      <c r="A1375" s="7" t="str">
        <f>HYPERLINK("http://www.eatonpowersource.com/products/configure/screw-in%20cartridge%20valves/details/566553","566553")</f>
        <v>566553</v>
      </c>
      <c r="B1375" s="8" t="s">
        <v>1346</v>
      </c>
    </row>
    <row r="1376" spans="1:2" x14ac:dyDescent="0.3">
      <c r="A1376" s="5" t="str">
        <f>HYPERLINK("http://www.eatonpowersource.com/products/configure/screw-in%20cartridge%20valves/details/566581","566581")</f>
        <v>566581</v>
      </c>
      <c r="B1376" s="6" t="s">
        <v>1347</v>
      </c>
    </row>
    <row r="1377" spans="1:2" x14ac:dyDescent="0.3">
      <c r="A1377" s="7" t="str">
        <f>HYPERLINK("http://www.eatonpowersource.com/products/configure/screw-in%20cartridge%20valves/details/566604","566604")</f>
        <v>566604</v>
      </c>
      <c r="B1377" s="8" t="s">
        <v>1348</v>
      </c>
    </row>
    <row r="1378" spans="1:2" x14ac:dyDescent="0.3">
      <c r="A1378" s="5" t="str">
        <f>HYPERLINK("http://www.eatonpowersource.com/products/configure/screw-in%20cartridge%20valves/details/566669","566669")</f>
        <v>566669</v>
      </c>
      <c r="B1378" s="6" t="s">
        <v>1349</v>
      </c>
    </row>
    <row r="1379" spans="1:2" x14ac:dyDescent="0.3">
      <c r="A1379" s="7" t="str">
        <f>HYPERLINK("http://www.eatonpowersource.com/products/configure/screw-in%20cartridge%20valves/details/566722","566722")</f>
        <v>566722</v>
      </c>
      <c r="B1379" s="8" t="s">
        <v>1350</v>
      </c>
    </row>
    <row r="1380" spans="1:2" x14ac:dyDescent="0.3">
      <c r="A1380" s="5" t="str">
        <f>HYPERLINK("http://www.eatonpowersource.com/products/configure/screw-in%20cartridge%20valves/details/889371","889371")</f>
        <v>889371</v>
      </c>
      <c r="B1380" s="6" t="s">
        <v>1351</v>
      </c>
    </row>
    <row r="1381" spans="1:2" x14ac:dyDescent="0.3">
      <c r="A1381" s="7" t="str">
        <f>HYPERLINK("http://www.eatonpowersource.com/products/configure/screw-in%20cartridge%20valves/details/889372","889372")</f>
        <v>889372</v>
      </c>
      <c r="B1381" s="8" t="s">
        <v>1352</v>
      </c>
    </row>
    <row r="1382" spans="1:2" x14ac:dyDescent="0.3">
      <c r="A1382" s="5" t="str">
        <f>HYPERLINK("http://www.eatonpowersource.com/products/configure/screw-in%20cartridge%20valves/details/889380","889380")</f>
        <v>889380</v>
      </c>
      <c r="B1382" s="6" t="s">
        <v>1353</v>
      </c>
    </row>
    <row r="1383" spans="1:2" x14ac:dyDescent="0.3">
      <c r="A1383" s="7" t="str">
        <f>HYPERLINK("http://www.eatonpowersource.com/products/configure/screw-in%20cartridge%20valves/details/889393","889393")</f>
        <v>889393</v>
      </c>
      <c r="B1383" s="8" t="s">
        <v>1354</v>
      </c>
    </row>
    <row r="1384" spans="1:2" x14ac:dyDescent="0.3">
      <c r="A1384" s="5" t="str">
        <f>HYPERLINK("http://www.eatonpowersource.com/products/configure/screw-in%20cartridge%20valves/details/889401","889401")</f>
        <v>889401</v>
      </c>
      <c r="B1384" s="6" t="s">
        <v>1355</v>
      </c>
    </row>
    <row r="1385" spans="1:2" x14ac:dyDescent="0.3">
      <c r="A1385" s="7" t="str">
        <f>HYPERLINK("http://www.eatonpowersource.com/products/configure/screw-in%20cartridge%20valves/details/889693","889693")</f>
        <v>889693</v>
      </c>
      <c r="B1385" s="8" t="s">
        <v>1356</v>
      </c>
    </row>
    <row r="1386" spans="1:2" x14ac:dyDescent="0.3">
      <c r="A1386" s="5" t="str">
        <f>HYPERLINK("http://www.eatonpowersource.com/products/configure/screw-in%20cartridge%20valves/details/02-163346","02-163346")</f>
        <v>02-163346</v>
      </c>
      <c r="B1386" s="6" t="s">
        <v>1357</v>
      </c>
    </row>
    <row r="1387" spans="1:2" x14ac:dyDescent="0.3">
      <c r="A1387" s="7" t="str">
        <f>HYPERLINK("http://www.eatonpowersource.com/products/configure/screw-in%20cartridge%20valves/details/02-163604","02-163604")</f>
        <v>02-163604</v>
      </c>
      <c r="B1387" s="8" t="s">
        <v>1358</v>
      </c>
    </row>
    <row r="1388" spans="1:2" x14ac:dyDescent="0.3">
      <c r="A1388" s="5" t="str">
        <f>HYPERLINK("http://www.eatonpowersource.com/products/configure/screw-in%20cartridge%20valves/details/02-163669","02-163669")</f>
        <v>02-163669</v>
      </c>
      <c r="B1388" s="6" t="s">
        <v>1359</v>
      </c>
    </row>
    <row r="1389" spans="1:2" x14ac:dyDescent="0.3">
      <c r="A1389" s="7" t="str">
        <f>HYPERLINK("http://www.eatonpowersource.com/products/configure/screw-in%20cartridge%20valves/details/405aa00010a","405AA00010A")</f>
        <v>405AA00010A</v>
      </c>
      <c r="B1389" s="8" t="s">
        <v>1360</v>
      </c>
    </row>
    <row r="1390" spans="1:2" x14ac:dyDescent="0.3">
      <c r="A1390" s="5" t="str">
        <f>HYPERLINK("http://www.eatonpowersource.com/products/configure/screw-in%20cartridge%20valves/details/405aa00011a","405AA00011A")</f>
        <v>405AA00011A</v>
      </c>
      <c r="B1390" s="6" t="s">
        <v>1361</v>
      </c>
    </row>
    <row r="1391" spans="1:2" x14ac:dyDescent="0.3">
      <c r="A1391" s="7" t="str">
        <f>HYPERLINK("http://www.eatonpowersource.com/products/configure/screw-in%20cartridge%20valves/details/405aa00027a","405AA00027A")</f>
        <v>405AA00027A</v>
      </c>
      <c r="B1391" s="8" t="s">
        <v>1362</v>
      </c>
    </row>
    <row r="1392" spans="1:2" x14ac:dyDescent="0.3">
      <c r="A1392" s="5" t="str">
        <f>HYPERLINK("http://www.eatonpowersource.com/products/configure/screw-in%20cartridge%20valves/details/405aa00028a","405AA00028A")</f>
        <v>405AA00028A</v>
      </c>
      <c r="B1392" s="6" t="s">
        <v>1363</v>
      </c>
    </row>
    <row r="1393" spans="1:2" x14ac:dyDescent="0.3">
      <c r="A1393" s="7" t="str">
        <f>HYPERLINK("http://www.eatonpowersource.com/products/configure/screw-in%20cartridge%20valves/details/405aa00029a","405AA00029A")</f>
        <v>405AA00029A</v>
      </c>
      <c r="B1393" s="8" t="s">
        <v>1364</v>
      </c>
    </row>
    <row r="1394" spans="1:2" x14ac:dyDescent="0.3">
      <c r="A1394" s="5" t="str">
        <f>HYPERLINK("http://www.eatonpowersource.com/products/configure/screw-in%20cartridge%20valves/details/405aa00030a","405AA00030A")</f>
        <v>405AA00030A</v>
      </c>
      <c r="B1394" s="6" t="s">
        <v>1365</v>
      </c>
    </row>
    <row r="1395" spans="1:2" x14ac:dyDescent="0.3">
      <c r="A1395" s="7" t="str">
        <f>HYPERLINK("http://www.eatonpowersource.com/products/configure/screw-in%20cartridge%20valves/details/405aa00031a","405AA00031A")</f>
        <v>405AA00031A</v>
      </c>
      <c r="B1395" s="8" t="s">
        <v>1366</v>
      </c>
    </row>
    <row r="1396" spans="1:2" x14ac:dyDescent="0.3">
      <c r="A1396" s="5" t="str">
        <f>HYPERLINK("http://www.eatonpowersource.com/products/configure/screw-in%20cartridge%20valves/details/405aa00049a","405AA00049A")</f>
        <v>405AA00049A</v>
      </c>
      <c r="B1396" s="6" t="s">
        <v>1367</v>
      </c>
    </row>
    <row r="1397" spans="1:2" x14ac:dyDescent="0.3">
      <c r="A1397" s="7" t="str">
        <f>HYPERLINK("http://www.eatonpowersource.com/products/configure/screw-in%20cartridge%20valves/details/405aa00050a","405AA00050A")</f>
        <v>405AA00050A</v>
      </c>
      <c r="B1397" s="8" t="s">
        <v>1368</v>
      </c>
    </row>
    <row r="1398" spans="1:2" x14ac:dyDescent="0.3">
      <c r="A1398" s="5" t="str">
        <f>HYPERLINK("http://www.eatonpowersource.com/products/configure/screw-in%20cartridge%20valves/details/405aa00061a","405AA00061A")</f>
        <v>405AA00061A</v>
      </c>
      <c r="B1398" s="6" t="s">
        <v>1369</v>
      </c>
    </row>
    <row r="1399" spans="1:2" x14ac:dyDescent="0.3">
      <c r="A1399" s="7" t="str">
        <f>HYPERLINK("http://www.eatonpowersource.com/products/configure/screw-in%20cartridge%20valves/details/405aa00063a","405AA00063A")</f>
        <v>405AA00063A</v>
      </c>
      <c r="B1399" s="8" t="s">
        <v>1370</v>
      </c>
    </row>
    <row r="1400" spans="1:2" x14ac:dyDescent="0.3">
      <c r="A1400" s="5" t="str">
        <f>HYPERLINK("http://www.eatonpowersource.com/products/configure/screw-in%20cartridge%20valves/details/405aa00065a","405AA00065A")</f>
        <v>405AA00065A</v>
      </c>
      <c r="B1400" s="6" t="s">
        <v>1371</v>
      </c>
    </row>
    <row r="1401" spans="1:2" x14ac:dyDescent="0.3">
      <c r="A1401" s="7" t="str">
        <f>HYPERLINK("http://www.eatonpowersource.com/products/configure/screw-in%20cartridge%20valves/details/405aa00174a","405AA00174A")</f>
        <v>405AA00174A</v>
      </c>
      <c r="B1401" s="8" t="s">
        <v>1372</v>
      </c>
    </row>
    <row r="1402" spans="1:2" x14ac:dyDescent="0.3">
      <c r="A1402" s="5" t="str">
        <f>HYPERLINK("http://www.eatonpowersource.com/products/configure/screw-in%20cartridge%20valves/details/405aa00180a","405AA00180A")</f>
        <v>405AA00180A</v>
      </c>
      <c r="B1402" s="6" t="s">
        <v>1373</v>
      </c>
    </row>
    <row r="1403" spans="1:2" x14ac:dyDescent="0.3">
      <c r="A1403" s="7" t="str">
        <f>HYPERLINK("http://www.eatonpowersource.com/products/configure/screw-in%20cartridge%20valves/details/405aa00218a","405AA00218A")</f>
        <v>405AA00218A</v>
      </c>
      <c r="B1403" s="8" t="s">
        <v>1374</v>
      </c>
    </row>
    <row r="1404" spans="1:2" x14ac:dyDescent="0.3">
      <c r="A1404" s="5" t="str">
        <f>HYPERLINK("http://www.eatonpowersource.com/products/configure/screw-in%20cartridge%20valves/details/405aa00232a","405AA00232A")</f>
        <v>405AA00232A</v>
      </c>
      <c r="B1404" s="6" t="s">
        <v>1375</v>
      </c>
    </row>
    <row r="1405" spans="1:2" x14ac:dyDescent="0.3">
      <c r="A1405" s="7" t="str">
        <f>HYPERLINK("http://www.eatonpowersource.com/products/configure/screw-in%20cartridge%20valves/details/405aa00332a","405AA00332A")</f>
        <v>405AA00332A</v>
      </c>
      <c r="B1405" s="8" t="s">
        <v>1376</v>
      </c>
    </row>
    <row r="1406" spans="1:2" x14ac:dyDescent="0.3">
      <c r="A1406" s="5" t="str">
        <f>HYPERLINK("http://www.eatonpowersource.com/products/configure/screw-in%20cartridge%20valves/details/405aa00333a","405AA00333A")</f>
        <v>405AA00333A</v>
      </c>
      <c r="B1406" s="6" t="s">
        <v>1377</v>
      </c>
    </row>
    <row r="1407" spans="1:2" x14ac:dyDescent="0.3">
      <c r="A1407" s="7" t="str">
        <f>HYPERLINK("http://www.eatonpowersource.com/products/configure/screw-in%20cartridge%20valves/details/405aa00337a","405AA00337A")</f>
        <v>405AA00337A</v>
      </c>
      <c r="B1407" s="8" t="s">
        <v>1378</v>
      </c>
    </row>
    <row r="1408" spans="1:2" x14ac:dyDescent="0.3">
      <c r="A1408" s="5" t="str">
        <f>HYPERLINK("http://www.eatonpowersource.com/products/configure/screw-in%20cartridge%20valves/details/405aa00341a","405AA00341A")</f>
        <v>405AA00341A</v>
      </c>
      <c r="B1408" s="6" t="s">
        <v>1379</v>
      </c>
    </row>
    <row r="1409" spans="1:2" x14ac:dyDescent="0.3">
      <c r="A1409" s="7" t="str">
        <f>HYPERLINK("http://www.eatonpowersource.com/products/configure/screw-in%20cartridge%20valves/details/405aa00342a","405AA00342A")</f>
        <v>405AA00342A</v>
      </c>
      <c r="B1409" s="8" t="s">
        <v>1380</v>
      </c>
    </row>
    <row r="1410" spans="1:2" x14ac:dyDescent="0.3">
      <c r="A1410" s="5" t="str">
        <f>HYPERLINK("http://www.eatonpowersource.com/products/configure/screw-in%20cartridge%20valves/details/405aa00388a","405AA00388A")</f>
        <v>405AA00388A</v>
      </c>
      <c r="B1410" s="6" t="s">
        <v>1381</v>
      </c>
    </row>
    <row r="1411" spans="1:2" x14ac:dyDescent="0.3">
      <c r="A1411" s="7" t="str">
        <f>HYPERLINK("http://www.eatonpowersource.com/products/configure/screw-in%20cartridge%20valves/details/405aa00832a","405AA00832A")</f>
        <v>405AA00832A</v>
      </c>
      <c r="B1411" s="8" t="s">
        <v>1382</v>
      </c>
    </row>
    <row r="1412" spans="1:2" x14ac:dyDescent="0.3">
      <c r="A1412" s="5" t="str">
        <f>HYPERLINK("http://www.eatonpowersource.com/products/configure/screw-in%20cartridge%20valves/details/405aa00833a","405AA00833A")</f>
        <v>405AA00833A</v>
      </c>
      <c r="B1412" s="6" t="s">
        <v>1383</v>
      </c>
    </row>
    <row r="1413" spans="1:2" x14ac:dyDescent="0.3">
      <c r="A1413" s="7" t="str">
        <f>HYPERLINK("http://www.eatonpowersource.com/products/configure/screw-in%20cartridge%20valves/details/565591","565591")</f>
        <v>565591</v>
      </c>
      <c r="B1413" s="8" t="s">
        <v>1384</v>
      </c>
    </row>
    <row r="1414" spans="1:2" x14ac:dyDescent="0.3">
      <c r="A1414" s="5" t="str">
        <f>HYPERLINK("http://www.eatonpowersource.com/products/configure/screw-in%20cartridge%20valves/details/565596","565596")</f>
        <v>565596</v>
      </c>
      <c r="B1414" s="6" t="s">
        <v>1385</v>
      </c>
    </row>
    <row r="1415" spans="1:2" x14ac:dyDescent="0.3">
      <c r="A1415" s="7" t="str">
        <f>HYPERLINK("http://www.eatonpowersource.com/products/configure/screw-in%20cartridge%20valves/details/565597","565597")</f>
        <v>565597</v>
      </c>
      <c r="B1415" s="8" t="s">
        <v>1386</v>
      </c>
    </row>
    <row r="1416" spans="1:2" x14ac:dyDescent="0.3">
      <c r="A1416" s="5" t="str">
        <f>HYPERLINK("http://www.eatonpowersource.com/products/configure/screw-in%20cartridge%20valves/details/565910","565910")</f>
        <v>565910</v>
      </c>
      <c r="B1416" s="6" t="s">
        <v>1387</v>
      </c>
    </row>
    <row r="1417" spans="1:2" x14ac:dyDescent="0.3">
      <c r="A1417" s="7" t="str">
        <f>HYPERLINK("http://www.eatonpowersource.com/products/configure/screw-in%20cartridge%20valves/details/565996","565996")</f>
        <v>565996</v>
      </c>
      <c r="B1417" s="8" t="s">
        <v>1388</v>
      </c>
    </row>
    <row r="1418" spans="1:2" x14ac:dyDescent="0.3">
      <c r="A1418" s="5" t="str">
        <f>HYPERLINK("http://www.eatonpowersource.com/products/configure/screw-in%20cartridge%20valves/details/566002","566002")</f>
        <v>566002</v>
      </c>
      <c r="B1418" s="6" t="s">
        <v>1389</v>
      </c>
    </row>
    <row r="1419" spans="1:2" x14ac:dyDescent="0.3">
      <c r="A1419" s="7" t="str">
        <f>HYPERLINK("http://www.eatonpowersource.com/products/configure/screw-in%20cartridge%20valves/details/566003","566003")</f>
        <v>566003</v>
      </c>
      <c r="B1419" s="8" t="s">
        <v>1390</v>
      </c>
    </row>
    <row r="1420" spans="1:2" x14ac:dyDescent="0.3">
      <c r="A1420" s="5" t="str">
        <f>HYPERLINK("http://www.eatonpowersource.com/products/configure/screw-in%20cartridge%20valves/details/566012","566012")</f>
        <v>566012</v>
      </c>
      <c r="B1420" s="6" t="s">
        <v>1391</v>
      </c>
    </row>
    <row r="1421" spans="1:2" x14ac:dyDescent="0.3">
      <c r="A1421" s="7" t="str">
        <f>HYPERLINK("http://www.eatonpowersource.com/products/configure/screw-in%20cartridge%20valves/details/566240","566240")</f>
        <v>566240</v>
      </c>
      <c r="B1421" s="8" t="s">
        <v>1392</v>
      </c>
    </row>
    <row r="1422" spans="1:2" x14ac:dyDescent="0.3">
      <c r="A1422" s="5" t="str">
        <f>HYPERLINK("http://www.eatonpowersource.com/products/configure/screw-in%20cartridge%20valves/details/889321","889321")</f>
        <v>889321</v>
      </c>
      <c r="B1422" s="6" t="s">
        <v>1393</v>
      </c>
    </row>
    <row r="1423" spans="1:2" x14ac:dyDescent="0.3">
      <c r="A1423" s="7" t="str">
        <f>HYPERLINK("http://www.eatonpowersource.com/products/configure/screw-in%20cartridge%20valves/details/02-163668","02-163668")</f>
        <v>02-163668</v>
      </c>
      <c r="B1423" s="8" t="s">
        <v>1394</v>
      </c>
    </row>
    <row r="1424" spans="1:2" x14ac:dyDescent="0.3">
      <c r="A1424" s="5" t="str">
        <f>HYPERLINK("http://www.eatonpowersource.com/products/configure/screw-in%20cartridge%20valves/details/02-165898","02-165898")</f>
        <v>02-165898</v>
      </c>
      <c r="B1424" s="6" t="s">
        <v>1395</v>
      </c>
    </row>
    <row r="1425" spans="1:2" x14ac:dyDescent="0.3">
      <c r="A1425" s="7" t="str">
        <f>HYPERLINK("http://www.eatonpowersource.com/products/configure/screw-in%20cartridge%20valves/details/02-173015","02-173015")</f>
        <v>02-173015</v>
      </c>
      <c r="B1425" s="8" t="s">
        <v>1396</v>
      </c>
    </row>
    <row r="1426" spans="1:2" x14ac:dyDescent="0.3">
      <c r="A1426" s="5" t="str">
        <f>HYPERLINK("http://www.eatonpowersource.com/products/configure/screw-in%20cartridge%20valves/details/02-176626","02-176626")</f>
        <v>02-176626</v>
      </c>
      <c r="B1426" s="6" t="s">
        <v>1397</v>
      </c>
    </row>
    <row r="1427" spans="1:2" x14ac:dyDescent="0.3">
      <c r="A1427" s="7" t="str">
        <f>HYPERLINK("http://www.eatonpowersource.com/products/configure/screw-in%20cartridge%20valves/details/02-176627","02-176627")</f>
        <v>02-176627</v>
      </c>
      <c r="B1427" s="8" t="s">
        <v>1398</v>
      </c>
    </row>
    <row r="1428" spans="1:2" x14ac:dyDescent="0.3">
      <c r="A1428" s="5" t="str">
        <f>HYPERLINK("http://www.eatonpowersource.com/products/configure/screw-in%20cartridge%20valves/details/02-176631","02-176631")</f>
        <v>02-176631</v>
      </c>
      <c r="B1428" s="6" t="s">
        <v>1399</v>
      </c>
    </row>
    <row r="1429" spans="1:2" x14ac:dyDescent="0.3">
      <c r="A1429" s="7" t="str">
        <f>HYPERLINK("http://www.eatonpowersource.com/products/configure/screw-in%20cartridge%20valves/details/02-180468","02-180468")</f>
        <v>02-180468</v>
      </c>
      <c r="B1429" s="8" t="s">
        <v>1400</v>
      </c>
    </row>
    <row r="1430" spans="1:2" x14ac:dyDescent="0.3">
      <c r="A1430" s="5" t="str">
        <f>HYPERLINK("http://www.eatonpowersource.com/products/configure/screw-in%20cartridge%20valves/details/02-180950","02-180950")</f>
        <v>02-180950</v>
      </c>
      <c r="B1430" s="6" t="s">
        <v>1401</v>
      </c>
    </row>
    <row r="1431" spans="1:2" x14ac:dyDescent="0.3">
      <c r="A1431" s="7" t="str">
        <f>HYPERLINK("http://www.eatonpowersource.com/products/configure/screw-in%20cartridge%20valves/details/02-181613","02-181613")</f>
        <v>02-181613</v>
      </c>
      <c r="B1431" s="8" t="s">
        <v>1402</v>
      </c>
    </row>
    <row r="1432" spans="1:2" x14ac:dyDescent="0.3">
      <c r="A1432" s="5" t="str">
        <f>HYPERLINK("http://www.eatonpowersource.com/products/configure/screw-in%20cartridge%20valves/details/02-181631","02-181631")</f>
        <v>02-181631</v>
      </c>
      <c r="B1432" s="6" t="s">
        <v>1403</v>
      </c>
    </row>
    <row r="1433" spans="1:2" x14ac:dyDescent="0.3">
      <c r="A1433" s="7" t="str">
        <f>HYPERLINK("http://www.eatonpowersource.com/products/configure/screw-in%20cartridge%20valves/details/02-182069","02-182069")</f>
        <v>02-182069</v>
      </c>
      <c r="B1433" s="8" t="s">
        <v>1404</v>
      </c>
    </row>
    <row r="1434" spans="1:2" x14ac:dyDescent="0.3">
      <c r="A1434" s="5" t="str">
        <f>HYPERLINK("http://www.eatonpowersource.com/products/configure/screw-in%20cartridge%20valves/details/02-182736","02-182736")</f>
        <v>02-182736</v>
      </c>
      <c r="B1434" s="6" t="s">
        <v>1405</v>
      </c>
    </row>
    <row r="1435" spans="1:2" x14ac:dyDescent="0.3">
      <c r="A1435" s="7" t="str">
        <f>HYPERLINK("http://www.eatonpowersource.com/products/configure/screw-in%20cartridge%20valves/details/02-183756","02-183756")</f>
        <v>02-183756</v>
      </c>
      <c r="B1435" s="8" t="s">
        <v>1406</v>
      </c>
    </row>
    <row r="1436" spans="1:2" x14ac:dyDescent="0.3">
      <c r="A1436" s="5" t="str">
        <f>HYPERLINK("http://www.eatonpowersource.com/products/configure/screw-in%20cartridge%20valves/details/02-184557","02-184557")</f>
        <v>02-184557</v>
      </c>
      <c r="B1436" s="6" t="s">
        <v>1407</v>
      </c>
    </row>
    <row r="1437" spans="1:2" x14ac:dyDescent="0.3">
      <c r="A1437" s="7" t="str">
        <f>HYPERLINK("http://www.eatonpowersource.com/products/configure/screw-in%20cartridge%20valves/details/02-198207","02-198207")</f>
        <v>02-198207</v>
      </c>
      <c r="B1437" s="8" t="s">
        <v>1408</v>
      </c>
    </row>
    <row r="1438" spans="1:2" x14ac:dyDescent="0.3">
      <c r="A1438" s="5" t="str">
        <f>HYPERLINK("http://www.eatonpowersource.com/products/configure/screw-in%20cartridge%20valves/details/02-200365","02-200365")</f>
        <v>02-200365</v>
      </c>
      <c r="B1438" s="6" t="s">
        <v>1409</v>
      </c>
    </row>
    <row r="1439" spans="1:2" x14ac:dyDescent="0.3">
      <c r="A1439" s="7" t="str">
        <f>HYPERLINK("http://www.eatonpowersource.com/products/configure/screw-in%20cartridge%20valves/details/02-200366","02-200366")</f>
        <v>02-200366</v>
      </c>
      <c r="B1439" s="8" t="s">
        <v>1410</v>
      </c>
    </row>
    <row r="1440" spans="1:2" x14ac:dyDescent="0.3">
      <c r="A1440" s="5" t="str">
        <f>HYPERLINK("http://www.eatonpowersource.com/products/configure/screw-in%20cartridge%20valves/details/02-200367","02-200367")</f>
        <v>02-200367</v>
      </c>
      <c r="B1440" s="6" t="s">
        <v>1411</v>
      </c>
    </row>
    <row r="1441" spans="1:2" x14ac:dyDescent="0.3">
      <c r="A1441" s="7" t="str">
        <f>HYPERLINK("http://www.eatonpowersource.com/products/configure/screw-in%20cartridge%20valves/details/02-201239","02-201239")</f>
        <v>02-201239</v>
      </c>
      <c r="B1441" s="8" t="s">
        <v>1412</v>
      </c>
    </row>
    <row r="1442" spans="1:2" x14ac:dyDescent="0.3">
      <c r="A1442" s="5" t="str">
        <f>HYPERLINK("http://www.eatonpowersource.com/products/configure/screw-in%20cartridge%20valves/details/02-201748","02-201748")</f>
        <v>02-201748</v>
      </c>
      <c r="B1442" s="6" t="s">
        <v>1413</v>
      </c>
    </row>
    <row r="1443" spans="1:2" x14ac:dyDescent="0.3">
      <c r="A1443" s="7" t="str">
        <f>HYPERLINK("http://www.eatonpowersource.com/products/configure/screw-in%20cartridge%20valves/details/302aa00033a","302AA00033A")</f>
        <v>302AA00033A</v>
      </c>
      <c r="B1443" s="8" t="s">
        <v>1414</v>
      </c>
    </row>
    <row r="1444" spans="1:2" x14ac:dyDescent="0.3">
      <c r="A1444" s="5" t="str">
        <f>HYPERLINK("http://www.eatonpowersource.com/products/configure/screw-in%20cartridge%20valves/details/302aa00116a","302AA00116A")</f>
        <v>302AA00116A</v>
      </c>
      <c r="B1444" s="6" t="s">
        <v>1415</v>
      </c>
    </row>
    <row r="1445" spans="1:2" x14ac:dyDescent="0.3">
      <c r="A1445" s="7" t="str">
        <f>HYPERLINK("http://www.eatonpowersource.com/products/configure/screw-in%20cartridge%20valves/details/305aa00011a","305AA00011A")</f>
        <v>305AA00011A</v>
      </c>
      <c r="B1445" s="8" t="s">
        <v>1416</v>
      </c>
    </row>
    <row r="1446" spans="1:2" x14ac:dyDescent="0.3">
      <c r="A1446" s="5" t="str">
        <f>HYPERLINK("http://www.eatonpowersource.com/products/configure/screw-in%20cartridge%20valves/details/305aa00083a","305AA00083A")</f>
        <v>305AA00083A</v>
      </c>
      <c r="B1446" s="6" t="s">
        <v>1417</v>
      </c>
    </row>
    <row r="1447" spans="1:2" x14ac:dyDescent="0.3">
      <c r="A1447" s="7" t="str">
        <f>HYPERLINK("http://www.eatonpowersource.com/products/configure/screw-in%20cartridge%20valves/details/305aa00195a","305AA00195A")</f>
        <v>305AA00195A</v>
      </c>
      <c r="B1447" s="8" t="s">
        <v>1418</v>
      </c>
    </row>
    <row r="1448" spans="1:2" x14ac:dyDescent="0.3">
      <c r="A1448" s="5" t="str">
        <f>HYPERLINK("http://www.eatonpowersource.com/products/configure/screw-in%20cartridge%20valves/details/305aa00208a","305AA00208A")</f>
        <v>305AA00208A</v>
      </c>
      <c r="B1448" s="6" t="s">
        <v>1419</v>
      </c>
    </row>
    <row r="1449" spans="1:2" x14ac:dyDescent="0.3">
      <c r="A1449" s="7" t="str">
        <f>HYPERLINK("http://www.eatonpowersource.com/products/configure/screw-in%20cartridge%20valves/details/305aa00280a","305AA00280A")</f>
        <v>305AA00280A</v>
      </c>
      <c r="B1449" s="8" t="s">
        <v>1420</v>
      </c>
    </row>
    <row r="1450" spans="1:2" x14ac:dyDescent="0.3">
      <c r="A1450" s="5" t="str">
        <f>HYPERLINK("http://www.eatonpowersource.com/products/configure/screw-in%20cartridge%20valves/details/305aa00281a","305AA00281A")</f>
        <v>305AA00281A</v>
      </c>
      <c r="B1450" s="6" t="s">
        <v>1421</v>
      </c>
    </row>
    <row r="1451" spans="1:2" x14ac:dyDescent="0.3">
      <c r="A1451" s="7" t="str">
        <f>HYPERLINK("http://www.eatonpowersource.com/products/configure/screw-in%20cartridge%20valves/details/305aa00283a","305AA00283A")</f>
        <v>305AA00283A</v>
      </c>
      <c r="B1451" s="8" t="s">
        <v>1422</v>
      </c>
    </row>
    <row r="1452" spans="1:2" x14ac:dyDescent="0.3">
      <c r="A1452" s="5" t="str">
        <f>HYPERLINK("http://www.eatonpowersource.com/products/configure/screw-in%20cartridge%20valves/details/305aa00284a","305AA00284A")</f>
        <v>305AA00284A</v>
      </c>
      <c r="B1452" s="6" t="s">
        <v>1423</v>
      </c>
    </row>
    <row r="1453" spans="1:2" x14ac:dyDescent="0.3">
      <c r="A1453" s="7" t="str">
        <f>HYPERLINK("http://www.eatonpowersource.com/products/configure/screw-in%20cartridge%20valves/details/305aa00285a","305AA00285A")</f>
        <v>305AA00285A</v>
      </c>
      <c r="B1453" s="8" t="s">
        <v>1424</v>
      </c>
    </row>
    <row r="1454" spans="1:2" x14ac:dyDescent="0.3">
      <c r="A1454" s="5" t="str">
        <f>HYPERLINK("http://www.eatonpowersource.com/products/configure/screw-in%20cartridge%20valves/details/305aa00322a","305AA00322A")</f>
        <v>305AA00322A</v>
      </c>
      <c r="B1454" s="6" t="s">
        <v>1425</v>
      </c>
    </row>
    <row r="1455" spans="1:2" x14ac:dyDescent="0.3">
      <c r="A1455" s="7" t="str">
        <f>HYPERLINK("http://www.eatonpowersource.com/products/configure/screw-in%20cartridge%20valves/details/305aa00329a","305AA00329A")</f>
        <v>305AA00329A</v>
      </c>
      <c r="B1455" s="8" t="s">
        <v>1426</v>
      </c>
    </row>
    <row r="1456" spans="1:2" x14ac:dyDescent="0.3">
      <c r="A1456" s="5" t="str">
        <f>HYPERLINK("http://www.eatonpowersource.com/products/configure/screw-in%20cartridge%20valves/details/405aa00105a","405AA00105A")</f>
        <v>405AA00105A</v>
      </c>
      <c r="B1456" s="6" t="s">
        <v>1427</v>
      </c>
    </row>
    <row r="1457" spans="1:2" x14ac:dyDescent="0.3">
      <c r="A1457" s="7" t="str">
        <f>HYPERLINK("http://www.eatonpowersource.com/products/configure/screw-in%20cartridge%20valves/details/405aa00124a","405AA00124A")</f>
        <v>405AA00124A</v>
      </c>
      <c r="B1457" s="8" t="s">
        <v>1428</v>
      </c>
    </row>
    <row r="1458" spans="1:2" x14ac:dyDescent="0.3">
      <c r="A1458" s="5" t="str">
        <f>HYPERLINK("http://www.eatonpowersource.com/products/configure/screw-in%20cartridge%20valves/details/405aa00136a","405AA00136A")</f>
        <v>405AA00136A</v>
      </c>
      <c r="B1458" s="6" t="s">
        <v>1429</v>
      </c>
    </row>
    <row r="1459" spans="1:2" x14ac:dyDescent="0.3">
      <c r="A1459" s="7" t="str">
        <f>HYPERLINK("http://www.eatonpowersource.com/products/configure/screw-in%20cartridge%20valves/details/405aa00150a","405AA00150A")</f>
        <v>405AA00150A</v>
      </c>
      <c r="B1459" s="8" t="s">
        <v>1430</v>
      </c>
    </row>
    <row r="1460" spans="1:2" x14ac:dyDescent="0.3">
      <c r="A1460" s="5" t="str">
        <f>HYPERLINK("http://www.eatonpowersource.com/products/configure/screw-in%20cartridge%20valves/details/405aa00183a","405AA00183A")</f>
        <v>405AA00183A</v>
      </c>
      <c r="B1460" s="6" t="s">
        <v>1431</v>
      </c>
    </row>
    <row r="1461" spans="1:2" x14ac:dyDescent="0.3">
      <c r="A1461" s="7" t="str">
        <f>HYPERLINK("http://www.eatonpowersource.com/products/configure/screw-in%20cartridge%20valves/details/405aa00197a","405AA00197A")</f>
        <v>405AA00197A</v>
      </c>
      <c r="B1461" s="8" t="s">
        <v>1432</v>
      </c>
    </row>
    <row r="1462" spans="1:2" x14ac:dyDescent="0.3">
      <c r="A1462" s="5" t="str">
        <f>HYPERLINK("http://www.eatonpowersource.com/products/configure/screw-in%20cartridge%20valves/details/405aa00441a","405AA00441A")</f>
        <v>405AA00441A</v>
      </c>
      <c r="B1462" s="6" t="s">
        <v>1433</v>
      </c>
    </row>
    <row r="1463" spans="1:2" x14ac:dyDescent="0.3">
      <c r="A1463" s="7" t="str">
        <f>HYPERLINK("http://www.eatonpowersource.com/products/configure/screw-in%20cartridge%20valves/details/405aa00470a","405AA00470A")</f>
        <v>405AA00470A</v>
      </c>
      <c r="B1463" s="8" t="s">
        <v>1434</v>
      </c>
    </row>
    <row r="1464" spans="1:2" x14ac:dyDescent="0.3">
      <c r="A1464" s="5" t="str">
        <f>HYPERLINK("http://www.eatonpowersource.com/products/configure/screw-in%20cartridge%20valves/details/405aa00485a","405AA00485A")</f>
        <v>405AA00485A</v>
      </c>
      <c r="B1464" s="6" t="s">
        <v>1435</v>
      </c>
    </row>
    <row r="1465" spans="1:2" x14ac:dyDescent="0.3">
      <c r="A1465" s="7" t="str">
        <f>HYPERLINK("http://www.eatonpowersource.com/products/configure/screw-in%20cartridge%20valves/details/405aa00492a","405AA00492A")</f>
        <v>405AA00492A</v>
      </c>
      <c r="B1465" s="8" t="s">
        <v>1436</v>
      </c>
    </row>
    <row r="1466" spans="1:2" x14ac:dyDescent="0.3">
      <c r="A1466" s="5" t="str">
        <f>HYPERLINK("http://www.eatonpowersource.com/products/configure/screw-in%20cartridge%20valves/details/405aa00572a","405AA00572A")</f>
        <v>405AA00572A</v>
      </c>
      <c r="B1466" s="6" t="s">
        <v>1437</v>
      </c>
    </row>
    <row r="1467" spans="1:2" x14ac:dyDescent="0.3">
      <c r="A1467" s="7" t="str">
        <f>HYPERLINK("http://www.eatonpowersource.com/products/configure/screw-in%20cartridge%20valves/details/405aa00592a","405AA00592A")</f>
        <v>405AA00592A</v>
      </c>
      <c r="B1467" s="8" t="s">
        <v>1438</v>
      </c>
    </row>
    <row r="1468" spans="1:2" x14ac:dyDescent="0.3">
      <c r="A1468" s="5" t="str">
        <f>HYPERLINK("http://www.eatonpowersource.com/products/configure/screw-in%20cartridge%20valves/details/405aa00593a","405AA00593A")</f>
        <v>405AA00593A</v>
      </c>
      <c r="B1468" s="6" t="s">
        <v>1439</v>
      </c>
    </row>
    <row r="1469" spans="1:2" x14ac:dyDescent="0.3">
      <c r="A1469" s="7" t="str">
        <f>HYPERLINK("http://www.eatonpowersource.com/products/configure/screw-in%20cartridge%20valves/details/405aa00598a","405AA00598A")</f>
        <v>405AA00598A</v>
      </c>
      <c r="B1469" s="8" t="s">
        <v>1440</v>
      </c>
    </row>
    <row r="1470" spans="1:2" x14ac:dyDescent="0.3">
      <c r="A1470" s="5" t="str">
        <f>HYPERLINK("http://www.eatonpowersource.com/products/configure/screw-in%20cartridge%20valves/details/405aa00612a","405AA00612A")</f>
        <v>405AA00612A</v>
      </c>
      <c r="B1470" s="6" t="s">
        <v>1441</v>
      </c>
    </row>
    <row r="1471" spans="1:2" x14ac:dyDescent="0.3">
      <c r="A1471" s="7" t="str">
        <f>HYPERLINK("http://www.eatonpowersource.com/products/configure/screw-in%20cartridge%20valves/details/405aa00617a","405AA00617A")</f>
        <v>405AA00617A</v>
      </c>
      <c r="B1471" s="8" t="s">
        <v>1442</v>
      </c>
    </row>
    <row r="1472" spans="1:2" x14ac:dyDescent="0.3">
      <c r="A1472" s="5" t="str">
        <f>HYPERLINK("http://www.eatonpowersource.com/products/configure/screw-in%20cartridge%20valves/details/405aa00623a","405AA00623A")</f>
        <v>405AA00623A</v>
      </c>
      <c r="B1472" s="6" t="s">
        <v>1443</v>
      </c>
    </row>
    <row r="1473" spans="1:2" x14ac:dyDescent="0.3">
      <c r="A1473" s="7" t="str">
        <f>HYPERLINK("http://www.eatonpowersource.com/products/configure/screw-in%20cartridge%20valves/details/405aa00625a","405AA00625A")</f>
        <v>405AA00625A</v>
      </c>
      <c r="B1473" s="8" t="s">
        <v>1444</v>
      </c>
    </row>
    <row r="1474" spans="1:2" x14ac:dyDescent="0.3">
      <c r="A1474" s="5" t="str">
        <f>HYPERLINK("http://www.eatonpowersource.com/products/configure/screw-in%20cartridge%20valves/details/405aa00630a","405AA00630A")</f>
        <v>405AA00630A</v>
      </c>
      <c r="B1474" s="6" t="s">
        <v>1445</v>
      </c>
    </row>
    <row r="1475" spans="1:2" x14ac:dyDescent="0.3">
      <c r="A1475" s="7" t="str">
        <f>HYPERLINK("http://www.eatonpowersource.com/products/configure/screw-in%20cartridge%20valves/details/405aa00631a","405AA00631A")</f>
        <v>405AA00631A</v>
      </c>
      <c r="B1475" s="8" t="s">
        <v>1446</v>
      </c>
    </row>
    <row r="1476" spans="1:2" x14ac:dyDescent="0.3">
      <c r="A1476" s="5" t="str">
        <f>HYPERLINK("http://www.eatonpowersource.com/products/configure/screw-in%20cartridge%20valves/details/405aa00633a","405AA00633A")</f>
        <v>405AA00633A</v>
      </c>
      <c r="B1476" s="6" t="s">
        <v>1447</v>
      </c>
    </row>
    <row r="1477" spans="1:2" x14ac:dyDescent="0.3">
      <c r="A1477" s="7" t="str">
        <f>HYPERLINK("http://www.eatonpowersource.com/products/configure/screw-in%20cartridge%20valves/details/565590","565590")</f>
        <v>565590</v>
      </c>
      <c r="B1477" s="8" t="s">
        <v>1448</v>
      </c>
    </row>
    <row r="1478" spans="1:2" x14ac:dyDescent="0.3">
      <c r="A1478" s="5" t="str">
        <f>HYPERLINK("http://www.eatonpowersource.com/products/configure/screw-in%20cartridge%20valves/details/565600","565600")</f>
        <v>565600</v>
      </c>
      <c r="B1478" s="6" t="s">
        <v>1449</v>
      </c>
    </row>
    <row r="1479" spans="1:2" x14ac:dyDescent="0.3">
      <c r="A1479" s="7" t="str">
        <f>HYPERLINK("http://www.eatonpowersource.com/products/configure/screw-in%20cartridge%20valves/details/565922","565922")</f>
        <v>565922</v>
      </c>
      <c r="B1479" s="8" t="s">
        <v>1450</v>
      </c>
    </row>
    <row r="1480" spans="1:2" x14ac:dyDescent="0.3">
      <c r="A1480" s="5" t="str">
        <f>HYPERLINK("http://www.eatonpowersource.com/products/configure/screw-in%20cartridge%20valves/details/566600","566600")</f>
        <v>566600</v>
      </c>
      <c r="B1480" s="6" t="s">
        <v>1451</v>
      </c>
    </row>
    <row r="1481" spans="1:2" x14ac:dyDescent="0.3">
      <c r="A1481" s="7" t="str">
        <f>HYPERLINK("http://www.eatonpowersource.com/products/configure/screw-in%20cartridge%20valves/details/889390","889390")</f>
        <v>889390</v>
      </c>
      <c r="B1481" s="8" t="s">
        <v>1452</v>
      </c>
    </row>
    <row r="1482" spans="1:2" x14ac:dyDescent="0.3">
      <c r="A1482" s="5" t="str">
        <f>HYPERLINK("http://www.eatonpowersource.com/products/configure/screw-in%20cartridge%20valves/details/889399","889399")</f>
        <v>889399</v>
      </c>
      <c r="B1482" s="6" t="s">
        <v>1453</v>
      </c>
    </row>
    <row r="1483" spans="1:2" x14ac:dyDescent="0.3">
      <c r="A1483" s="7" t="str">
        <f>HYPERLINK("http://www.eatonpowersource.com/products/configure/screw-in%20cartridge%20valves/details/02-112759","02-112759")</f>
        <v>02-112759</v>
      </c>
      <c r="B1483" s="8" t="s">
        <v>1454</v>
      </c>
    </row>
    <row r="1484" spans="1:2" x14ac:dyDescent="0.3">
      <c r="A1484" s="5" t="str">
        <f>HYPERLINK("http://www.eatonpowersource.com/products/configure/screw-in%20cartridge%20valves/details/02-112938","02-112938")</f>
        <v>02-112938</v>
      </c>
      <c r="B1484" s="6" t="s">
        <v>1455</v>
      </c>
    </row>
    <row r="1485" spans="1:2" x14ac:dyDescent="0.3">
      <c r="A1485" s="7" t="str">
        <f>HYPERLINK("http://www.eatonpowersource.com/products/configure/screw-in%20cartridge%20valves/details/02-113065","02-113065")</f>
        <v>02-113065</v>
      </c>
      <c r="B1485" s="8" t="s">
        <v>1456</v>
      </c>
    </row>
    <row r="1486" spans="1:2" x14ac:dyDescent="0.3">
      <c r="A1486" s="5" t="str">
        <f>HYPERLINK("http://www.eatonpowersource.com/products/configure/screw-in%20cartridge%20valves/details/02-151017","02-151017")</f>
        <v>02-151017</v>
      </c>
      <c r="B1486" s="6" t="s">
        <v>1457</v>
      </c>
    </row>
    <row r="1487" spans="1:2" x14ac:dyDescent="0.3">
      <c r="A1487" s="7" t="str">
        <f>HYPERLINK("http://www.eatonpowersource.com/products/configure/screw-in%20cartridge%20valves/details/02-153283","02-153283")</f>
        <v>02-153283</v>
      </c>
      <c r="B1487" s="8" t="s">
        <v>1458</v>
      </c>
    </row>
    <row r="1488" spans="1:2" x14ac:dyDescent="0.3">
      <c r="A1488" s="5" t="str">
        <f>HYPERLINK("http://www.eatonpowersource.com/products/configure/screw-in%20cartridge%20valves/details/02-160600","02-160600")</f>
        <v>02-160600</v>
      </c>
      <c r="B1488" s="6" t="s">
        <v>1459</v>
      </c>
    </row>
    <row r="1489" spans="1:2" x14ac:dyDescent="0.3">
      <c r="A1489" s="7" t="str">
        <f>HYPERLINK("http://www.eatonpowersource.com/products/configure/screw-in%20cartridge%20valves/details/02-160620","02-160620")</f>
        <v>02-160620</v>
      </c>
      <c r="B1489" s="8" t="s">
        <v>1460</v>
      </c>
    </row>
    <row r="1490" spans="1:2" x14ac:dyDescent="0.3">
      <c r="A1490" s="5" t="str">
        <f>HYPERLINK("http://www.eatonpowersource.com/products/configure/screw-in%20cartridge%20valves/details/02-161013","02-161013")</f>
        <v>02-161013</v>
      </c>
      <c r="B1490" s="6" t="s">
        <v>1461</v>
      </c>
    </row>
    <row r="1491" spans="1:2" x14ac:dyDescent="0.3">
      <c r="A1491" s="7" t="str">
        <f>HYPERLINK("http://www.eatonpowersource.com/products/configure/screw-in%20cartridge%20valves/details/02-161119","02-161119")</f>
        <v>02-161119</v>
      </c>
      <c r="B1491" s="8" t="s">
        <v>1462</v>
      </c>
    </row>
    <row r="1492" spans="1:2" x14ac:dyDescent="0.3">
      <c r="A1492" s="5" t="str">
        <f>HYPERLINK("http://www.eatonpowersource.com/products/configure/screw-in%20cartridge%20valves/details/02-161188","02-161188")</f>
        <v>02-161188</v>
      </c>
      <c r="B1492" s="6" t="s">
        <v>1463</v>
      </c>
    </row>
    <row r="1493" spans="1:2" x14ac:dyDescent="0.3">
      <c r="A1493" s="7" t="str">
        <f>HYPERLINK("http://www.eatonpowersource.com/products/configure/screw-in%20cartridge%20valves/details/02-161217","02-161217")</f>
        <v>02-161217</v>
      </c>
      <c r="B1493" s="8" t="s">
        <v>1464</v>
      </c>
    </row>
    <row r="1494" spans="1:2" x14ac:dyDescent="0.3">
      <c r="A1494" s="5" t="str">
        <f>HYPERLINK("http://www.eatonpowersource.com/products/configure/screw-in%20cartridge%20valves/details/02-161218","02-161218")</f>
        <v>02-161218</v>
      </c>
      <c r="B1494" s="6" t="s">
        <v>1465</v>
      </c>
    </row>
    <row r="1495" spans="1:2" x14ac:dyDescent="0.3">
      <c r="A1495" s="7" t="str">
        <f>HYPERLINK("http://www.eatonpowersource.com/products/configure/screw-in%20cartridge%20valves/details/02-161219","02-161219")</f>
        <v>02-161219</v>
      </c>
      <c r="B1495" s="8" t="s">
        <v>1466</v>
      </c>
    </row>
    <row r="1496" spans="1:2" x14ac:dyDescent="0.3">
      <c r="A1496" s="5" t="str">
        <f>HYPERLINK("http://www.eatonpowersource.com/products/configure/screw-in%20cartridge%20valves/details/02-161357","02-161357")</f>
        <v>02-161357</v>
      </c>
      <c r="B1496" s="6" t="s">
        <v>1467</v>
      </c>
    </row>
    <row r="1497" spans="1:2" x14ac:dyDescent="0.3">
      <c r="A1497" s="7" t="str">
        <f>HYPERLINK("http://www.eatonpowersource.com/products/configure/screw-in%20cartridge%20valves/details/02-161499","02-161499")</f>
        <v>02-161499</v>
      </c>
      <c r="B1497" s="8" t="s">
        <v>1468</v>
      </c>
    </row>
    <row r="1498" spans="1:2" x14ac:dyDescent="0.3">
      <c r="A1498" s="5" t="str">
        <f>HYPERLINK("http://www.eatonpowersource.com/products/configure/screw-in%20cartridge%20valves/details/02-161797","02-161797")</f>
        <v>02-161797</v>
      </c>
      <c r="B1498" s="6" t="s">
        <v>1469</v>
      </c>
    </row>
    <row r="1499" spans="1:2" x14ac:dyDescent="0.3">
      <c r="A1499" s="7" t="str">
        <f>HYPERLINK("http://www.eatonpowersource.com/products/configure/screw-in%20cartridge%20valves/details/02-161798","02-161798")</f>
        <v>02-161798</v>
      </c>
      <c r="B1499" s="8" t="s">
        <v>1470</v>
      </c>
    </row>
    <row r="1500" spans="1:2" x14ac:dyDescent="0.3">
      <c r="A1500" s="5" t="str">
        <f>HYPERLINK("http://www.eatonpowersource.com/products/configure/screw-in%20cartridge%20valves/details/02-161799","02-161799")</f>
        <v>02-161799</v>
      </c>
      <c r="B1500" s="6" t="s">
        <v>1471</v>
      </c>
    </row>
    <row r="1501" spans="1:2" x14ac:dyDescent="0.3">
      <c r="A1501" s="7" t="str">
        <f>HYPERLINK("http://www.eatonpowersource.com/products/configure/screw-in%20cartridge%20valves/details/02-161800","02-161800")</f>
        <v>02-161800</v>
      </c>
      <c r="B1501" s="8" t="s">
        <v>1472</v>
      </c>
    </row>
    <row r="1502" spans="1:2" x14ac:dyDescent="0.3">
      <c r="A1502" s="5" t="str">
        <f>HYPERLINK("http://www.eatonpowersource.com/products/configure/screw-in%20cartridge%20valves/details/02-165573","02-165573")</f>
        <v>02-165573</v>
      </c>
      <c r="B1502" s="6" t="s">
        <v>1473</v>
      </c>
    </row>
    <row r="1503" spans="1:2" x14ac:dyDescent="0.3">
      <c r="A1503" s="7" t="str">
        <f>HYPERLINK("http://www.eatonpowersource.com/products/configure/screw-in%20cartridge%20valves/details/02-166542","02-166542")</f>
        <v>02-166542</v>
      </c>
      <c r="B1503" s="8" t="s">
        <v>1474</v>
      </c>
    </row>
    <row r="1504" spans="1:2" x14ac:dyDescent="0.3">
      <c r="A1504" s="5" t="str">
        <f>HYPERLINK("http://www.eatonpowersource.com/products/configure/screw-in%20cartridge%20valves/details/02-171256","02-171256")</f>
        <v>02-171256</v>
      </c>
      <c r="B1504" s="6" t="s">
        <v>1475</v>
      </c>
    </row>
    <row r="1505" spans="1:2" x14ac:dyDescent="0.3">
      <c r="A1505" s="7" t="str">
        <f>HYPERLINK("http://www.eatonpowersource.com/products/configure/screw-in%20cartridge%20valves/details/02-171257","02-171257")</f>
        <v>02-171257</v>
      </c>
      <c r="B1505" s="8" t="s">
        <v>1476</v>
      </c>
    </row>
    <row r="1506" spans="1:2" x14ac:dyDescent="0.3">
      <c r="A1506" s="5" t="str">
        <f>HYPERLINK("http://www.eatonpowersource.com/products/configure/screw-in%20cartridge%20valves/details/02-171258","02-171258")</f>
        <v>02-171258</v>
      </c>
      <c r="B1506" s="6" t="s">
        <v>1477</v>
      </c>
    </row>
    <row r="1507" spans="1:2" x14ac:dyDescent="0.3">
      <c r="A1507" s="7" t="str">
        <f>HYPERLINK("http://www.eatonpowersource.com/products/configure/screw-in%20cartridge%20valves/details/02-171259","02-171259")</f>
        <v>02-171259</v>
      </c>
      <c r="B1507" s="8" t="s">
        <v>1478</v>
      </c>
    </row>
    <row r="1508" spans="1:2" x14ac:dyDescent="0.3">
      <c r="A1508" s="5" t="str">
        <f>HYPERLINK("http://www.eatonpowersource.com/products/configure/screw-in%20cartridge%20valves/details/02-173178","02-173178")</f>
        <v>02-173178</v>
      </c>
      <c r="B1508" s="6" t="s">
        <v>1479</v>
      </c>
    </row>
    <row r="1509" spans="1:2" x14ac:dyDescent="0.3">
      <c r="A1509" s="7" t="str">
        <f>HYPERLINK("http://www.eatonpowersource.com/products/configure/screw-in%20cartridge%20valves/details/02-173179","02-173179")</f>
        <v>02-173179</v>
      </c>
      <c r="B1509" s="8" t="s">
        <v>1480</v>
      </c>
    </row>
    <row r="1510" spans="1:2" x14ac:dyDescent="0.3">
      <c r="A1510" s="5" t="str">
        <f>HYPERLINK("http://www.eatonpowersource.com/products/configure/screw-in%20cartridge%20valves/details/02-173181","02-173181")</f>
        <v>02-173181</v>
      </c>
      <c r="B1510" s="6" t="s">
        <v>1481</v>
      </c>
    </row>
    <row r="1511" spans="1:2" x14ac:dyDescent="0.3">
      <c r="A1511" s="7" t="str">
        <f>HYPERLINK("http://www.eatonpowersource.com/products/configure/screw-in%20cartridge%20valves/details/02-173263","02-173263")</f>
        <v>02-173263</v>
      </c>
      <c r="B1511" s="8" t="s">
        <v>1482</v>
      </c>
    </row>
    <row r="1512" spans="1:2" x14ac:dyDescent="0.3">
      <c r="A1512" s="5" t="str">
        <f>HYPERLINK("http://www.eatonpowersource.com/products/configure/screw-in%20cartridge%20valves/details/02-173264","02-173264")</f>
        <v>02-173264</v>
      </c>
      <c r="B1512" s="6" t="s">
        <v>1483</v>
      </c>
    </row>
    <row r="1513" spans="1:2" x14ac:dyDescent="0.3">
      <c r="A1513" s="7" t="str">
        <f>HYPERLINK("http://www.eatonpowersource.com/products/configure/screw-in%20cartridge%20valves/details/02-173265","02-173265")</f>
        <v>02-173265</v>
      </c>
      <c r="B1513" s="8" t="s">
        <v>1484</v>
      </c>
    </row>
    <row r="1514" spans="1:2" x14ac:dyDescent="0.3">
      <c r="A1514" s="5" t="str">
        <f>HYPERLINK("http://www.eatonpowersource.com/products/configure/screw-in%20cartridge%20valves/details/02-173266","02-173266")</f>
        <v>02-173266</v>
      </c>
      <c r="B1514" s="6" t="s">
        <v>1485</v>
      </c>
    </row>
    <row r="1515" spans="1:2" x14ac:dyDescent="0.3">
      <c r="A1515" s="7" t="str">
        <f>HYPERLINK("http://www.eatonpowersource.com/products/configure/screw-in%20cartridge%20valves/details/02-173329","02-173329")</f>
        <v>02-173329</v>
      </c>
      <c r="B1515" s="8" t="s">
        <v>1486</v>
      </c>
    </row>
    <row r="1516" spans="1:2" x14ac:dyDescent="0.3">
      <c r="A1516" s="5" t="str">
        <f>HYPERLINK("http://www.eatonpowersource.com/products/configure/screw-in%20cartridge%20valves/details/02-173330","02-173330")</f>
        <v>02-173330</v>
      </c>
      <c r="B1516" s="6" t="s">
        <v>1487</v>
      </c>
    </row>
    <row r="1517" spans="1:2" x14ac:dyDescent="0.3">
      <c r="A1517" s="7" t="str">
        <f>HYPERLINK("http://www.eatonpowersource.com/products/configure/screw-in%20cartridge%20valves/details/02-173331","02-173331")</f>
        <v>02-173331</v>
      </c>
      <c r="B1517" s="8" t="s">
        <v>1488</v>
      </c>
    </row>
    <row r="1518" spans="1:2" x14ac:dyDescent="0.3">
      <c r="A1518" s="5" t="str">
        <f>HYPERLINK("http://www.eatonpowersource.com/products/configure/screw-in%20cartridge%20valves/details/02-173422","02-173422")</f>
        <v>02-173422</v>
      </c>
      <c r="B1518" s="6" t="s">
        <v>1489</v>
      </c>
    </row>
    <row r="1519" spans="1:2" x14ac:dyDescent="0.3">
      <c r="A1519" s="7" t="str">
        <f>HYPERLINK("http://www.eatonpowersource.com/products/configure/screw-in%20cartridge%20valves/details/02-174703","02-174703")</f>
        <v>02-174703</v>
      </c>
      <c r="B1519" s="8" t="s">
        <v>1490</v>
      </c>
    </row>
    <row r="1520" spans="1:2" x14ac:dyDescent="0.3">
      <c r="A1520" s="5" t="str">
        <f>HYPERLINK("http://www.eatonpowersource.com/products/configure/screw-in%20cartridge%20valves/details/02-174958","02-174958")</f>
        <v>02-174958</v>
      </c>
      <c r="B1520" s="6" t="s">
        <v>1491</v>
      </c>
    </row>
    <row r="1521" spans="1:2" x14ac:dyDescent="0.3">
      <c r="A1521" s="7" t="str">
        <f>HYPERLINK("http://www.eatonpowersource.com/products/configure/screw-in%20cartridge%20valves/details/02-176344","02-176344")</f>
        <v>02-176344</v>
      </c>
      <c r="B1521" s="8" t="s">
        <v>1492</v>
      </c>
    </row>
    <row r="1522" spans="1:2" x14ac:dyDescent="0.3">
      <c r="A1522" s="5" t="str">
        <f>HYPERLINK("http://www.eatonpowersource.com/products/configure/screw-in%20cartridge%20valves/details/02-176552","02-176552")</f>
        <v>02-176552</v>
      </c>
      <c r="B1522" s="6" t="s">
        <v>1493</v>
      </c>
    </row>
    <row r="1523" spans="1:2" x14ac:dyDescent="0.3">
      <c r="A1523" s="7" t="str">
        <f>HYPERLINK("http://www.eatonpowersource.com/products/configure/screw-in%20cartridge%20valves/details/02-177546","02-177546")</f>
        <v>02-177546</v>
      </c>
      <c r="B1523" s="8" t="s">
        <v>1494</v>
      </c>
    </row>
    <row r="1524" spans="1:2" x14ac:dyDescent="0.3">
      <c r="A1524" s="5" t="str">
        <f>HYPERLINK("http://www.eatonpowersource.com/products/configure/screw-in%20cartridge%20valves/details/02-180552","02-180552")</f>
        <v>02-180552</v>
      </c>
      <c r="B1524" s="6" t="s">
        <v>1495</v>
      </c>
    </row>
    <row r="1525" spans="1:2" x14ac:dyDescent="0.3">
      <c r="A1525" s="7" t="str">
        <f>HYPERLINK("http://www.eatonpowersource.com/products/configure/screw-in%20cartridge%20valves/details/02-180553","02-180553")</f>
        <v>02-180553</v>
      </c>
      <c r="B1525" s="8" t="s">
        <v>1496</v>
      </c>
    </row>
    <row r="1526" spans="1:2" x14ac:dyDescent="0.3">
      <c r="A1526" s="5" t="str">
        <f>HYPERLINK("http://www.eatonpowersource.com/products/configure/screw-in%20cartridge%20valves/details/02-198296","02-198296")</f>
        <v>02-198296</v>
      </c>
      <c r="B1526" s="6" t="s">
        <v>1497</v>
      </c>
    </row>
    <row r="1527" spans="1:2" x14ac:dyDescent="0.3">
      <c r="A1527" s="7" t="str">
        <f>HYPERLINK("http://www.eatonpowersource.com/products/configure/screw-in%20cartridge%20valves/details/02-198312","02-198312")</f>
        <v>02-198312</v>
      </c>
      <c r="B1527" s="8" t="s">
        <v>1498</v>
      </c>
    </row>
    <row r="1528" spans="1:2" x14ac:dyDescent="0.3">
      <c r="A1528" s="5" t="str">
        <f>HYPERLINK("http://www.eatonpowersource.com/products/configure/screw-in%20cartridge%20valves/details/02-198933","02-198933")</f>
        <v>02-198933</v>
      </c>
      <c r="B1528" s="6" t="s">
        <v>1499</v>
      </c>
    </row>
    <row r="1529" spans="1:2" x14ac:dyDescent="0.3">
      <c r="A1529" s="7" t="str">
        <f>HYPERLINK("http://www.eatonpowersource.com/products/configure/screw-in%20cartridge%20valves/details/02-199683","02-199683")</f>
        <v>02-199683</v>
      </c>
      <c r="B1529" s="8" t="s">
        <v>1500</v>
      </c>
    </row>
    <row r="1530" spans="1:2" x14ac:dyDescent="0.3">
      <c r="A1530" s="5" t="str">
        <f>HYPERLINK("http://www.eatonpowersource.com/products/configure/screw-in%20cartridge%20valves/details/02-199715","02-199715")</f>
        <v>02-199715</v>
      </c>
      <c r="B1530" s="6" t="s">
        <v>1501</v>
      </c>
    </row>
    <row r="1531" spans="1:2" x14ac:dyDescent="0.3">
      <c r="A1531" s="7" t="str">
        <f>HYPERLINK("http://www.eatonpowersource.com/products/configure/screw-in%20cartridge%20valves/details/02-200151","02-200151")</f>
        <v>02-200151</v>
      </c>
      <c r="B1531" s="8" t="s">
        <v>1502</v>
      </c>
    </row>
    <row r="1532" spans="1:2" x14ac:dyDescent="0.3">
      <c r="A1532" s="5" t="str">
        <f>HYPERLINK("http://www.eatonpowersource.com/products/configure/screw-in%20cartridge%20valves/details/02-200218","02-200218")</f>
        <v>02-200218</v>
      </c>
      <c r="B1532" s="6" t="s">
        <v>1503</v>
      </c>
    </row>
    <row r="1533" spans="1:2" x14ac:dyDescent="0.3">
      <c r="A1533" s="7" t="str">
        <f>HYPERLINK("http://www.eatonpowersource.com/products/configure/screw-in%20cartridge%20valves/details/02-200385","02-200385")</f>
        <v>02-200385</v>
      </c>
      <c r="B1533" s="8" t="s">
        <v>1504</v>
      </c>
    </row>
    <row r="1534" spans="1:2" x14ac:dyDescent="0.3">
      <c r="A1534" s="5" t="str">
        <f>HYPERLINK("http://www.eatonpowersource.com/products/configure/screw-in%20cartridge%20valves/details/02-200424","02-200424")</f>
        <v>02-200424</v>
      </c>
      <c r="B1534" s="6" t="s">
        <v>1505</v>
      </c>
    </row>
    <row r="1535" spans="1:2" x14ac:dyDescent="0.3">
      <c r="A1535" s="7" t="str">
        <f>HYPERLINK("http://www.eatonpowersource.com/products/configure/screw-in%20cartridge%20valves/details/02-200425","02-200425")</f>
        <v>02-200425</v>
      </c>
      <c r="B1535" s="8" t="s">
        <v>1506</v>
      </c>
    </row>
    <row r="1536" spans="1:2" x14ac:dyDescent="0.3">
      <c r="A1536" s="5" t="str">
        <f>HYPERLINK("http://www.eatonpowersource.com/products/configure/screw-in%20cartridge%20valves/details/02-200426","02-200426")</f>
        <v>02-200426</v>
      </c>
      <c r="B1536" s="6" t="s">
        <v>1507</v>
      </c>
    </row>
    <row r="1537" spans="1:2" x14ac:dyDescent="0.3">
      <c r="A1537" s="7" t="str">
        <f>HYPERLINK("http://www.eatonpowersource.com/products/configure/screw-in%20cartridge%20valves/details/02-200427","02-200427")</f>
        <v>02-200427</v>
      </c>
      <c r="B1537" s="8" t="s">
        <v>1508</v>
      </c>
    </row>
    <row r="1538" spans="1:2" x14ac:dyDescent="0.3">
      <c r="A1538" s="5" t="str">
        <f>HYPERLINK("http://www.eatonpowersource.com/products/configure/screw-in%20cartridge%20valves/details/02-200428","02-200428")</f>
        <v>02-200428</v>
      </c>
      <c r="B1538" s="6" t="s">
        <v>1509</v>
      </c>
    </row>
    <row r="1539" spans="1:2" x14ac:dyDescent="0.3">
      <c r="A1539" s="7" t="str">
        <f>HYPERLINK("http://www.eatonpowersource.com/products/configure/screw-in%20cartridge%20valves/details/02-200432","02-200432")</f>
        <v>02-200432</v>
      </c>
      <c r="B1539" s="8" t="s">
        <v>1510</v>
      </c>
    </row>
    <row r="1540" spans="1:2" x14ac:dyDescent="0.3">
      <c r="A1540" s="5" t="str">
        <f>HYPERLINK("http://www.eatonpowersource.com/products/configure/screw-in%20cartridge%20valves/details/02-200442","02-200442")</f>
        <v>02-200442</v>
      </c>
      <c r="B1540" s="6" t="s">
        <v>1511</v>
      </c>
    </row>
    <row r="1541" spans="1:2" x14ac:dyDescent="0.3">
      <c r="A1541" s="7" t="str">
        <f>HYPERLINK("http://www.eatonpowersource.com/products/configure/screw-in%20cartridge%20valves/details/02-201326","02-201326")</f>
        <v>02-201326</v>
      </c>
      <c r="B1541" s="8" t="s">
        <v>1512</v>
      </c>
    </row>
    <row r="1542" spans="1:2" x14ac:dyDescent="0.3">
      <c r="A1542" s="5" t="str">
        <f>HYPERLINK("http://www.eatonpowersource.com/products/configure/screw-in%20cartridge%20valves/details/02-371349","02-371349")</f>
        <v>02-371349</v>
      </c>
      <c r="B1542" s="6" t="s">
        <v>1513</v>
      </c>
    </row>
    <row r="1543" spans="1:2" x14ac:dyDescent="0.3">
      <c r="A1543" s="7" t="str">
        <f>HYPERLINK("http://www.eatonpowersource.com/products/configure/screw-in%20cartridge%20valves/details/301aa00011a","301AA00011A")</f>
        <v>301AA00011A</v>
      </c>
      <c r="B1543" s="8" t="s">
        <v>1514</v>
      </c>
    </row>
    <row r="1544" spans="1:2" x14ac:dyDescent="0.3">
      <c r="A1544" s="5" t="str">
        <f>HYPERLINK("http://www.eatonpowersource.com/products/configure/screw-in%20cartridge%20valves/details/301aa00020a","301AA00020A")</f>
        <v>301AA00020A</v>
      </c>
      <c r="B1544" s="6" t="s">
        <v>1515</v>
      </c>
    </row>
    <row r="1545" spans="1:2" x14ac:dyDescent="0.3">
      <c r="A1545" s="7" t="str">
        <f>HYPERLINK("http://www.eatonpowersource.com/products/configure/screw-in%20cartridge%20valves/details/301aa00022a","301AA00022A")</f>
        <v>301AA00022A</v>
      </c>
      <c r="B1545" s="8" t="s">
        <v>1516</v>
      </c>
    </row>
    <row r="1546" spans="1:2" x14ac:dyDescent="0.3">
      <c r="A1546" s="5" t="str">
        <f>HYPERLINK("http://www.eatonpowersource.com/products/configure/screw-in%20cartridge%20valves/details/301aa00023a","301AA00023A")</f>
        <v>301AA00023A</v>
      </c>
      <c r="B1546" s="6" t="s">
        <v>1517</v>
      </c>
    </row>
    <row r="1547" spans="1:2" x14ac:dyDescent="0.3">
      <c r="A1547" s="7" t="str">
        <f>HYPERLINK("http://www.eatonpowersource.com/products/configure/screw-in%20cartridge%20valves/details/301aa00044a","301AA00044A")</f>
        <v>301AA00044A</v>
      </c>
      <c r="B1547" s="8" t="s">
        <v>1518</v>
      </c>
    </row>
    <row r="1548" spans="1:2" x14ac:dyDescent="0.3">
      <c r="A1548" s="5" t="str">
        <f>HYPERLINK("http://www.eatonpowersource.com/products/configure/screw-in%20cartridge%20valves/details/301aa00072a","301AA00072A")</f>
        <v>301AA00072A</v>
      </c>
      <c r="B1548" s="6" t="s">
        <v>1519</v>
      </c>
    </row>
    <row r="1549" spans="1:2" x14ac:dyDescent="0.3">
      <c r="A1549" s="7" t="str">
        <f>HYPERLINK("http://www.eatonpowersource.com/products/configure/screw-in%20cartridge%20valves/details/301aa00073a","301AA00073A")</f>
        <v>301AA00073A</v>
      </c>
      <c r="B1549" s="8" t="s">
        <v>1520</v>
      </c>
    </row>
    <row r="1550" spans="1:2" x14ac:dyDescent="0.3">
      <c r="A1550" s="5" t="str">
        <f>HYPERLINK("http://www.eatonpowersource.com/products/configure/screw-in%20cartridge%20valves/details/301aa00075a","301AA00075A")</f>
        <v>301AA00075A</v>
      </c>
      <c r="B1550" s="6" t="s">
        <v>1521</v>
      </c>
    </row>
    <row r="1551" spans="1:2" x14ac:dyDescent="0.3">
      <c r="A1551" s="7" t="str">
        <f>HYPERLINK("http://www.eatonpowersource.com/products/configure/screw-in%20cartridge%20valves/details/401aa00001a","401AA00001A")</f>
        <v>401AA00001A</v>
      </c>
      <c r="B1551" s="8" t="s">
        <v>1522</v>
      </c>
    </row>
    <row r="1552" spans="1:2" x14ac:dyDescent="0.3">
      <c r="A1552" s="5" t="str">
        <f>HYPERLINK("http://www.eatonpowersource.com/products/configure/screw-in%20cartridge%20valves/details/401aa00002a","401AA00002A")</f>
        <v>401AA00002A</v>
      </c>
      <c r="B1552" s="6" t="s">
        <v>1523</v>
      </c>
    </row>
    <row r="1553" spans="1:2" x14ac:dyDescent="0.3">
      <c r="A1553" s="7" t="str">
        <f>HYPERLINK("http://www.eatonpowersource.com/products/configure/screw-in%20cartridge%20valves/details/401aa00003a","401AA00003A")</f>
        <v>401AA00003A</v>
      </c>
      <c r="B1553" s="8" t="s">
        <v>1524</v>
      </c>
    </row>
    <row r="1554" spans="1:2" x14ac:dyDescent="0.3">
      <c r="A1554" s="5" t="str">
        <f>HYPERLINK("http://www.eatonpowersource.com/products/configure/screw-in%20cartridge%20valves/details/401aa00004a","401AA00004A")</f>
        <v>401AA00004A</v>
      </c>
      <c r="B1554" s="6" t="s">
        <v>1525</v>
      </c>
    </row>
    <row r="1555" spans="1:2" x14ac:dyDescent="0.3">
      <c r="A1555" s="7" t="str">
        <f>HYPERLINK("http://www.eatonpowersource.com/products/configure/screw-in%20cartridge%20valves/details/401aa00005a","401AA00005A")</f>
        <v>401AA00005A</v>
      </c>
      <c r="B1555" s="8" t="s">
        <v>1526</v>
      </c>
    </row>
    <row r="1556" spans="1:2" x14ac:dyDescent="0.3">
      <c r="A1556" s="5" t="str">
        <f>HYPERLINK("http://www.eatonpowersource.com/products/configure/screw-in%20cartridge%20valves/details/401aa00006a","401AA00006A")</f>
        <v>401AA00006A</v>
      </c>
      <c r="B1556" s="6" t="s">
        <v>1527</v>
      </c>
    </row>
    <row r="1557" spans="1:2" x14ac:dyDescent="0.3">
      <c r="A1557" s="7" t="str">
        <f>HYPERLINK("http://www.eatonpowersource.com/products/configure/screw-in%20cartridge%20valves/details/401aa00007a","401AA00007A")</f>
        <v>401AA00007A</v>
      </c>
      <c r="B1557" s="8" t="s">
        <v>1528</v>
      </c>
    </row>
    <row r="1558" spans="1:2" x14ac:dyDescent="0.3">
      <c r="A1558" s="5" t="str">
        <f>HYPERLINK("http://www.eatonpowersource.com/products/configure/screw-in%20cartridge%20valves/details/401aa00010a","401AA00010A")</f>
        <v>401AA00010A</v>
      </c>
      <c r="B1558" s="6" t="s">
        <v>1529</v>
      </c>
    </row>
    <row r="1559" spans="1:2" x14ac:dyDescent="0.3">
      <c r="A1559" s="7" t="str">
        <f>HYPERLINK("http://www.eatonpowersource.com/products/configure/screw-in%20cartridge%20valves/details/401aa00013a","401AA00013A")</f>
        <v>401AA00013A</v>
      </c>
      <c r="B1559" s="8" t="s">
        <v>1530</v>
      </c>
    </row>
    <row r="1560" spans="1:2" x14ac:dyDescent="0.3">
      <c r="A1560" s="5" t="str">
        <f>HYPERLINK("http://www.eatonpowersource.com/products/configure/screw-in%20cartridge%20valves/details/401aa00015a","401AA00015A")</f>
        <v>401AA00015A</v>
      </c>
      <c r="B1560" s="6" t="s">
        <v>1531</v>
      </c>
    </row>
    <row r="1561" spans="1:2" x14ac:dyDescent="0.3">
      <c r="A1561" s="7" t="str">
        <f>HYPERLINK("http://www.eatonpowersource.com/products/configure/screw-in%20cartridge%20valves/details/401aa00016a","401AA00016A")</f>
        <v>401AA00016A</v>
      </c>
      <c r="B1561" s="8" t="s">
        <v>1532</v>
      </c>
    </row>
    <row r="1562" spans="1:2" x14ac:dyDescent="0.3">
      <c r="A1562" s="5" t="str">
        <f>HYPERLINK("http://www.eatonpowersource.com/products/configure/screw-in%20cartridge%20valves/details/401aa00017a","401AA00017A")</f>
        <v>401AA00017A</v>
      </c>
      <c r="B1562" s="6" t="s">
        <v>1533</v>
      </c>
    </row>
    <row r="1563" spans="1:2" x14ac:dyDescent="0.3">
      <c r="A1563" s="7" t="str">
        <f>HYPERLINK("http://www.eatonpowersource.com/products/configure/screw-in%20cartridge%20valves/details/401aa00018a","401AA00018A")</f>
        <v>401AA00018A</v>
      </c>
      <c r="B1563" s="8" t="s">
        <v>1534</v>
      </c>
    </row>
    <row r="1564" spans="1:2" x14ac:dyDescent="0.3">
      <c r="A1564" s="5" t="str">
        <f>HYPERLINK("http://www.eatonpowersource.com/products/configure/screw-in%20cartridge%20valves/details/401aa00019a","401AA00019A")</f>
        <v>401AA00019A</v>
      </c>
      <c r="B1564" s="6" t="s">
        <v>1535</v>
      </c>
    </row>
    <row r="1565" spans="1:2" x14ac:dyDescent="0.3">
      <c r="A1565" s="7" t="str">
        <f>HYPERLINK("http://www.eatonpowersource.com/products/configure/screw-in%20cartridge%20valves/details/401aa00021a","401AA00021A")</f>
        <v>401AA00021A</v>
      </c>
      <c r="B1565" s="8" t="s">
        <v>1536</v>
      </c>
    </row>
    <row r="1566" spans="1:2" x14ac:dyDescent="0.3">
      <c r="A1566" s="5" t="str">
        <f>HYPERLINK("http://www.eatonpowersource.com/products/configure/screw-in%20cartridge%20valves/details/401aa00026a","401AA00026A")</f>
        <v>401AA00026A</v>
      </c>
      <c r="B1566" s="6" t="s">
        <v>1537</v>
      </c>
    </row>
    <row r="1567" spans="1:2" x14ac:dyDescent="0.3">
      <c r="A1567" s="7" t="str">
        <f>HYPERLINK("http://www.eatonpowersource.com/products/configure/screw-in%20cartridge%20valves/details/401aa00034a","401AA00034A")</f>
        <v>401AA00034A</v>
      </c>
      <c r="B1567" s="8" t="s">
        <v>1538</v>
      </c>
    </row>
    <row r="1568" spans="1:2" x14ac:dyDescent="0.3">
      <c r="A1568" s="5" t="str">
        <f>HYPERLINK("http://www.eatonpowersource.com/products/configure/screw-in%20cartridge%20valves/details/401aa00035a","401AA00035A")</f>
        <v>401AA00035A</v>
      </c>
      <c r="B1568" s="6" t="s">
        <v>1539</v>
      </c>
    </row>
    <row r="1569" spans="1:2" x14ac:dyDescent="0.3">
      <c r="A1569" s="7" t="str">
        <f>HYPERLINK("http://www.eatonpowersource.com/products/configure/screw-in%20cartridge%20valves/details/401aa00036a","401AA00036A")</f>
        <v>401AA00036A</v>
      </c>
      <c r="B1569" s="8" t="s">
        <v>1540</v>
      </c>
    </row>
    <row r="1570" spans="1:2" x14ac:dyDescent="0.3">
      <c r="A1570" s="5" t="str">
        <f>HYPERLINK("http://www.eatonpowersource.com/products/configure/screw-in%20cartridge%20valves/details/401aa00043a","401AA00043A")</f>
        <v>401AA00043A</v>
      </c>
      <c r="B1570" s="6" t="s">
        <v>1541</v>
      </c>
    </row>
    <row r="1571" spans="1:2" x14ac:dyDescent="0.3">
      <c r="A1571" s="7" t="str">
        <f>HYPERLINK("http://www.eatonpowersource.com/products/configure/screw-in%20cartridge%20valves/details/401aa00044a","401AA00044A")</f>
        <v>401AA00044A</v>
      </c>
      <c r="B1571" s="8" t="s">
        <v>1542</v>
      </c>
    </row>
    <row r="1572" spans="1:2" x14ac:dyDescent="0.3">
      <c r="A1572" s="5" t="str">
        <f>HYPERLINK("http://www.eatonpowersource.com/products/configure/screw-in%20cartridge%20valves/details/401aa00045a","401AA00045A")</f>
        <v>401AA00045A</v>
      </c>
      <c r="B1572" s="6" t="s">
        <v>1543</v>
      </c>
    </row>
    <row r="1573" spans="1:2" x14ac:dyDescent="0.3">
      <c r="A1573" s="7" t="str">
        <f>HYPERLINK("http://www.eatonpowersource.com/products/configure/screw-in%20cartridge%20valves/details/401aa00053a","401AA00053A")</f>
        <v>401AA00053A</v>
      </c>
      <c r="B1573" s="8" t="s">
        <v>1544</v>
      </c>
    </row>
    <row r="1574" spans="1:2" x14ac:dyDescent="0.3">
      <c r="A1574" s="5" t="str">
        <f>HYPERLINK("http://www.eatonpowersource.com/products/configure/screw-in%20cartridge%20valves/details/401aa00063a","401AA00063A")</f>
        <v>401AA00063A</v>
      </c>
      <c r="B1574" s="6" t="s">
        <v>1545</v>
      </c>
    </row>
    <row r="1575" spans="1:2" x14ac:dyDescent="0.3">
      <c r="A1575" s="7" t="str">
        <f>HYPERLINK("http://www.eatonpowersource.com/products/configure/screw-in%20cartridge%20valves/details/401aa00065a","401AA00065A")</f>
        <v>401AA00065A</v>
      </c>
      <c r="B1575" s="8" t="s">
        <v>1546</v>
      </c>
    </row>
    <row r="1576" spans="1:2" x14ac:dyDescent="0.3">
      <c r="A1576" s="5" t="str">
        <f>HYPERLINK("http://www.eatonpowersource.com/products/configure/screw-in%20cartridge%20valves/details/401aa00066a","401AA00066A")</f>
        <v>401AA00066A</v>
      </c>
      <c r="B1576" s="6" t="s">
        <v>1547</v>
      </c>
    </row>
    <row r="1577" spans="1:2" x14ac:dyDescent="0.3">
      <c r="A1577" s="7" t="str">
        <f>HYPERLINK("http://www.eatonpowersource.com/products/configure/screw-in%20cartridge%20valves/details/401aa00077a","401AA00077A")</f>
        <v>401AA00077A</v>
      </c>
      <c r="B1577" s="8" t="s">
        <v>1548</v>
      </c>
    </row>
    <row r="1578" spans="1:2" x14ac:dyDescent="0.3">
      <c r="A1578" s="5" t="str">
        <f>HYPERLINK("http://www.eatonpowersource.com/products/configure/screw-in%20cartridge%20valves/details/401aa00141a","401AA00141A")</f>
        <v>401AA00141A</v>
      </c>
      <c r="B1578" s="6" t="s">
        <v>1549</v>
      </c>
    </row>
    <row r="1579" spans="1:2" x14ac:dyDescent="0.3">
      <c r="A1579" s="7" t="str">
        <f>HYPERLINK("http://www.eatonpowersource.com/products/configure/screw-in%20cartridge%20valves/details/401aa00154a","401AA00154A")</f>
        <v>401AA00154A</v>
      </c>
      <c r="B1579" s="8" t="s">
        <v>1550</v>
      </c>
    </row>
    <row r="1580" spans="1:2" x14ac:dyDescent="0.3">
      <c r="A1580" s="5" t="str">
        <f>HYPERLINK("http://www.eatonpowersource.com/products/configure/screw-in%20cartridge%20valves/details/401aa00155a","401AA00155A")</f>
        <v>401AA00155A</v>
      </c>
      <c r="B1580" s="6" t="s">
        <v>1551</v>
      </c>
    </row>
    <row r="1581" spans="1:2" x14ac:dyDescent="0.3">
      <c r="A1581" s="7" t="str">
        <f>HYPERLINK("http://www.eatonpowersource.com/products/configure/screw-in%20cartridge%20valves/details/401aa00157a","401AA00157A")</f>
        <v>401AA00157A</v>
      </c>
      <c r="B1581" s="8" t="s">
        <v>1552</v>
      </c>
    </row>
    <row r="1582" spans="1:2" x14ac:dyDescent="0.3">
      <c r="A1582" s="5" t="str">
        <f>HYPERLINK("http://www.eatonpowersource.com/products/configure/screw-in%20cartridge%20valves/details/401aa00180a","401AA00180A")</f>
        <v>401AA00180A</v>
      </c>
      <c r="B1582" s="6" t="s">
        <v>1553</v>
      </c>
    </row>
    <row r="1583" spans="1:2" x14ac:dyDescent="0.3">
      <c r="A1583" s="7" t="str">
        <f>HYPERLINK("http://www.eatonpowersource.com/products/configure/screw-in%20cartridge%20valves/details/401aa00183a","401AA00183A")</f>
        <v>401AA00183A</v>
      </c>
      <c r="B1583" s="8" t="s">
        <v>1554</v>
      </c>
    </row>
    <row r="1584" spans="1:2" x14ac:dyDescent="0.3">
      <c r="A1584" s="5" t="str">
        <f>HYPERLINK("http://www.eatonpowersource.com/products/configure/screw-in%20cartridge%20valves/details/401aa00243a","401AA00243A")</f>
        <v>401AA00243A</v>
      </c>
      <c r="B1584" s="6" t="s">
        <v>1555</v>
      </c>
    </row>
    <row r="1585" spans="1:2" x14ac:dyDescent="0.3">
      <c r="A1585" s="7" t="str">
        <f>HYPERLINK("http://www.eatonpowersource.com/products/configure/screw-in%20cartridge%20valves/details/401aa00291a","401AA00291A")</f>
        <v>401AA00291A</v>
      </c>
      <c r="B1585" s="8" t="s">
        <v>1556</v>
      </c>
    </row>
    <row r="1586" spans="1:2" x14ac:dyDescent="0.3">
      <c r="A1586" s="5" t="str">
        <f>HYPERLINK("http://www.eatonpowersource.com/products/configure/screw-in%20cartridge%20valves/details/401aa00295a","401AA00295A")</f>
        <v>401AA00295A</v>
      </c>
      <c r="B1586" s="6" t="s">
        <v>1557</v>
      </c>
    </row>
    <row r="1587" spans="1:2" x14ac:dyDescent="0.3">
      <c r="A1587" s="7" t="str">
        <f>HYPERLINK("http://www.eatonpowersource.com/products/configure/screw-in%20cartridge%20valves/details/401aa00299a","401AA00299A")</f>
        <v>401AA00299A</v>
      </c>
      <c r="B1587" s="8" t="s">
        <v>1558</v>
      </c>
    </row>
    <row r="1588" spans="1:2" x14ac:dyDescent="0.3">
      <c r="A1588" s="5" t="str">
        <f>HYPERLINK("http://www.eatonpowersource.com/products/configure/screw-in%20cartridge%20valves/details/401aa00306a","401AA00306A")</f>
        <v>401AA00306A</v>
      </c>
      <c r="B1588" s="6" t="s">
        <v>1559</v>
      </c>
    </row>
    <row r="1589" spans="1:2" x14ac:dyDescent="0.3">
      <c r="A1589" s="7" t="str">
        <f>HYPERLINK("http://www.eatonpowersource.com/products/configure/screw-in%20cartridge%20valves/details/401aa00319a","401AA00319A")</f>
        <v>401AA00319A</v>
      </c>
      <c r="B1589" s="8" t="s">
        <v>1560</v>
      </c>
    </row>
    <row r="1590" spans="1:2" x14ac:dyDescent="0.3">
      <c r="A1590" s="5" t="str">
        <f>HYPERLINK("http://www.eatonpowersource.com/products/configure/screw-in%20cartridge%20valves/details/401aa00320a","401AA00320A")</f>
        <v>401AA00320A</v>
      </c>
      <c r="B1590" s="6" t="s">
        <v>1561</v>
      </c>
    </row>
    <row r="1591" spans="1:2" x14ac:dyDescent="0.3">
      <c r="A1591" s="7" t="str">
        <f>HYPERLINK("http://www.eatonpowersource.com/products/configure/screw-in%20cartridge%20valves/details/401aa00343a","401AA00343A")</f>
        <v>401AA00343A</v>
      </c>
      <c r="B1591" s="8" t="s">
        <v>1562</v>
      </c>
    </row>
    <row r="1592" spans="1:2" x14ac:dyDescent="0.3">
      <c r="A1592" s="5" t="str">
        <f>HYPERLINK("http://www.eatonpowersource.com/products/configure/screw-in%20cartridge%20valves/details/401aa00355a","401AA00355A")</f>
        <v>401AA00355A</v>
      </c>
      <c r="B1592" s="6" t="s">
        <v>1563</v>
      </c>
    </row>
    <row r="1593" spans="1:2" x14ac:dyDescent="0.3">
      <c r="A1593" s="7" t="str">
        <f>HYPERLINK("http://www.eatonpowersource.com/products/configure/screw-in%20cartridge%20valves/details/401aa00475a","401AA00475A")</f>
        <v>401AA00475A</v>
      </c>
      <c r="B1593" s="8" t="s">
        <v>1564</v>
      </c>
    </row>
    <row r="1594" spans="1:2" x14ac:dyDescent="0.3">
      <c r="A1594" s="5" t="str">
        <f>HYPERLINK("http://www.eatonpowersource.com/products/configure/screw-in%20cartridge%20valves/details/401aa00477a","401AA00477A")</f>
        <v>401AA00477A</v>
      </c>
      <c r="B1594" s="6" t="s">
        <v>1565</v>
      </c>
    </row>
    <row r="1595" spans="1:2" x14ac:dyDescent="0.3">
      <c r="A1595" s="7" t="str">
        <f>HYPERLINK("http://www.eatonpowersource.com/products/configure/screw-in%20cartridge%20valves/details/401aa00511a","401AA00511A")</f>
        <v>401AA00511A</v>
      </c>
      <c r="B1595" s="8" t="s">
        <v>1566</v>
      </c>
    </row>
    <row r="1596" spans="1:2" x14ac:dyDescent="0.3">
      <c r="A1596" s="5" t="str">
        <f>HYPERLINK("http://www.eatonpowersource.com/products/configure/screw-in%20cartridge%20valves/details/401aa00657a","401AA00657A")</f>
        <v>401AA00657A</v>
      </c>
      <c r="B1596" s="6" t="s">
        <v>1567</v>
      </c>
    </row>
    <row r="1597" spans="1:2" x14ac:dyDescent="0.3">
      <c r="A1597" s="7" t="str">
        <f>HYPERLINK("http://www.eatonpowersource.com/products/configure/screw-in%20cartridge%20valves/details/401aa00660a","401AA00660A")</f>
        <v>401AA00660A</v>
      </c>
      <c r="B1597" s="8" t="s">
        <v>1568</v>
      </c>
    </row>
    <row r="1598" spans="1:2" x14ac:dyDescent="0.3">
      <c r="A1598" s="5" t="str">
        <f>HYPERLINK("http://www.eatonpowersource.com/products/configure/screw-in%20cartridge%20valves/details/401aa00662a","401AA00662A")</f>
        <v>401AA00662A</v>
      </c>
      <c r="B1598" s="6" t="s">
        <v>1569</v>
      </c>
    </row>
    <row r="1599" spans="1:2" x14ac:dyDescent="0.3">
      <c r="A1599" s="7" t="str">
        <f>HYPERLINK("http://www.eatonpowersource.com/products/configure/screw-in%20cartridge%20valves/details/401aa00691a","401AA00691A")</f>
        <v>401AA00691A</v>
      </c>
      <c r="B1599" s="8" t="s">
        <v>1570</v>
      </c>
    </row>
    <row r="1600" spans="1:2" x14ac:dyDescent="0.3">
      <c r="A1600" s="5" t="str">
        <f>HYPERLINK("http://www.eatonpowersource.com/products/configure/screw-in%20cartridge%20valves/details/565615","565615")</f>
        <v>565615</v>
      </c>
      <c r="B1600" s="6" t="s">
        <v>1571</v>
      </c>
    </row>
    <row r="1601" spans="1:2" x14ac:dyDescent="0.3">
      <c r="A1601" s="7" t="str">
        <f>HYPERLINK("http://www.eatonpowersource.com/products/configure/screw-in%20cartridge%20valves/details/565616","565616")</f>
        <v>565616</v>
      </c>
      <c r="B1601" s="8" t="s">
        <v>1572</v>
      </c>
    </row>
    <row r="1602" spans="1:2" x14ac:dyDescent="0.3">
      <c r="A1602" s="5" t="str">
        <f>HYPERLINK("http://www.eatonpowersource.com/products/configure/screw-in%20cartridge%20valves/details/565618","565618")</f>
        <v>565618</v>
      </c>
      <c r="B1602" s="6" t="s">
        <v>1573</v>
      </c>
    </row>
    <row r="1603" spans="1:2" x14ac:dyDescent="0.3">
      <c r="A1603" s="7" t="str">
        <f>HYPERLINK("http://www.eatonpowersource.com/products/configure/screw-in%20cartridge%20valves/details/565619","565619")</f>
        <v>565619</v>
      </c>
      <c r="B1603" s="8" t="s">
        <v>1574</v>
      </c>
    </row>
    <row r="1604" spans="1:2" x14ac:dyDescent="0.3">
      <c r="A1604" s="5" t="str">
        <f>HYPERLINK("http://www.eatonpowersource.com/products/configure/screw-in%20cartridge%20valves/details/565630","565630")</f>
        <v>565630</v>
      </c>
      <c r="B1604" s="6" t="s">
        <v>1575</v>
      </c>
    </row>
    <row r="1605" spans="1:2" x14ac:dyDescent="0.3">
      <c r="A1605" s="7" t="str">
        <f>HYPERLINK("http://www.eatonpowersource.com/products/configure/screw-in%20cartridge%20valves/details/565844","565844")</f>
        <v>565844</v>
      </c>
      <c r="B1605" s="8" t="s">
        <v>1576</v>
      </c>
    </row>
    <row r="1606" spans="1:2" x14ac:dyDescent="0.3">
      <c r="A1606" s="5" t="str">
        <f>HYPERLINK("http://www.eatonpowersource.com/products/configure/screw-in%20cartridge%20valves/details/565845","565845")</f>
        <v>565845</v>
      </c>
      <c r="B1606" s="6" t="s">
        <v>1577</v>
      </c>
    </row>
    <row r="1607" spans="1:2" x14ac:dyDescent="0.3">
      <c r="A1607" s="7" t="str">
        <f>HYPERLINK("http://www.eatonpowersource.com/products/configure/screw-in%20cartridge%20valves/details/565889","565889")</f>
        <v>565889</v>
      </c>
      <c r="B1607" s="8" t="s">
        <v>1578</v>
      </c>
    </row>
    <row r="1608" spans="1:2" x14ac:dyDescent="0.3">
      <c r="A1608" s="5" t="str">
        <f>HYPERLINK("http://www.eatonpowersource.com/products/configure/screw-in%20cartridge%20valves/details/565904","565904")</f>
        <v>565904</v>
      </c>
      <c r="B1608" s="6" t="s">
        <v>1579</v>
      </c>
    </row>
    <row r="1609" spans="1:2" x14ac:dyDescent="0.3">
      <c r="A1609" s="7" t="str">
        <f>HYPERLINK("http://www.eatonpowersource.com/products/configure/screw-in%20cartridge%20valves/details/565909","565909")</f>
        <v>565909</v>
      </c>
      <c r="B1609" s="8" t="s">
        <v>1580</v>
      </c>
    </row>
    <row r="1610" spans="1:2" x14ac:dyDescent="0.3">
      <c r="A1610" s="5" t="str">
        <f>HYPERLINK("http://www.eatonpowersource.com/products/configure/screw-in%20cartridge%20valves/details/565952","565952")</f>
        <v>565952</v>
      </c>
      <c r="B1610" s="6" t="s">
        <v>1581</v>
      </c>
    </row>
    <row r="1611" spans="1:2" x14ac:dyDescent="0.3">
      <c r="A1611" s="7" t="str">
        <f>HYPERLINK("http://www.eatonpowersource.com/products/configure/screw-in%20cartridge%20valves/details/565973","565973")</f>
        <v>565973</v>
      </c>
      <c r="B1611" s="8" t="s">
        <v>1582</v>
      </c>
    </row>
    <row r="1612" spans="1:2" x14ac:dyDescent="0.3">
      <c r="A1612" s="5" t="str">
        <f>HYPERLINK("http://www.eatonpowersource.com/products/configure/screw-in%20cartridge%20valves/details/565999","565999")</f>
        <v>565999</v>
      </c>
      <c r="B1612" s="6" t="s">
        <v>1583</v>
      </c>
    </row>
    <row r="1613" spans="1:2" x14ac:dyDescent="0.3">
      <c r="A1613" s="7" t="str">
        <f>HYPERLINK("http://www.eatonpowersource.com/products/configure/screw-in%20cartridge%20valves/details/566004","566004")</f>
        <v>566004</v>
      </c>
      <c r="B1613" s="8" t="s">
        <v>1584</v>
      </c>
    </row>
    <row r="1614" spans="1:2" x14ac:dyDescent="0.3">
      <c r="A1614" s="5" t="str">
        <f>HYPERLINK("http://www.eatonpowersource.com/products/configure/screw-in%20cartridge%20valves/details/566095","566095")</f>
        <v>566095</v>
      </c>
      <c r="B1614" s="6" t="s">
        <v>1585</v>
      </c>
    </row>
    <row r="1615" spans="1:2" x14ac:dyDescent="0.3">
      <c r="A1615" s="7" t="str">
        <f>HYPERLINK("http://www.eatonpowersource.com/products/configure/screw-in%20cartridge%20valves/details/566165","566165")</f>
        <v>566165</v>
      </c>
      <c r="B1615" s="8" t="s">
        <v>1586</v>
      </c>
    </row>
    <row r="1616" spans="1:2" x14ac:dyDescent="0.3">
      <c r="A1616" s="5" t="str">
        <f>HYPERLINK("http://www.eatonpowersource.com/products/configure/screw-in%20cartridge%20valves/details/566176","566176")</f>
        <v>566176</v>
      </c>
      <c r="B1616" s="6" t="s">
        <v>1587</v>
      </c>
    </row>
    <row r="1617" spans="1:2" x14ac:dyDescent="0.3">
      <c r="A1617" s="7" t="str">
        <f>HYPERLINK("http://www.eatonpowersource.com/products/configure/screw-in%20cartridge%20valves/details/566496","566496")</f>
        <v>566496</v>
      </c>
      <c r="B1617" s="8" t="s">
        <v>1588</v>
      </c>
    </row>
    <row r="1618" spans="1:2" x14ac:dyDescent="0.3">
      <c r="A1618" s="5" t="str">
        <f>HYPERLINK("http://www.eatonpowersource.com/products/configure/screw-in%20cartridge%20valves/details/566538","566538")</f>
        <v>566538</v>
      </c>
      <c r="B1618" s="6" t="s">
        <v>1589</v>
      </c>
    </row>
    <row r="1619" spans="1:2" x14ac:dyDescent="0.3">
      <c r="A1619" s="7" t="str">
        <f>HYPERLINK("http://www.eatonpowersource.com/products/configure/screw-in%20cartridge%20valves/details/615aa00044a","615AA00044A")</f>
        <v>615AA00044A</v>
      </c>
      <c r="B1619" s="8" t="s">
        <v>1590</v>
      </c>
    </row>
    <row r="1620" spans="1:2" x14ac:dyDescent="0.3">
      <c r="A1620" s="5" t="str">
        <f>HYPERLINK("http://www.eatonpowersource.com/products/configure/screw-in%20cartridge%20valves/details/888036","888036")</f>
        <v>888036</v>
      </c>
      <c r="B1620" s="6" t="s">
        <v>1591</v>
      </c>
    </row>
    <row r="1621" spans="1:2" x14ac:dyDescent="0.3">
      <c r="A1621" s="7" t="str">
        <f>HYPERLINK("http://www.eatonpowersource.com/products/configure/screw-in%20cartridge%20valves/details/889266","889266")</f>
        <v>889266</v>
      </c>
      <c r="B1621" s="8" t="s">
        <v>1592</v>
      </c>
    </row>
    <row r="1622" spans="1:2" x14ac:dyDescent="0.3">
      <c r="A1622" s="5" t="str">
        <f>HYPERLINK("http://www.eatonpowersource.com/products/configure/screw-in%20cartridge%20valves/details/889394","889394")</f>
        <v>889394</v>
      </c>
      <c r="B1622" s="6" t="s">
        <v>1593</v>
      </c>
    </row>
    <row r="1623" spans="1:2" x14ac:dyDescent="0.3">
      <c r="A1623" s="7" t="str">
        <f>HYPERLINK("http://www.eatonpowersource.com/products/configure/screw-in%20cartridge%20valves/details/3ic50s","3IC50S")</f>
        <v>3IC50S</v>
      </c>
      <c r="B1623" s="8" t="s">
        <v>1594</v>
      </c>
    </row>
    <row r="1624" spans="1:2" x14ac:dyDescent="0.3">
      <c r="A1624" s="5" t="str">
        <f>HYPERLINK("http://www.eatonpowersource.com/products/configure/screw-in%20cartridge%20valves/details/02-113062","02-113062")</f>
        <v>02-113062</v>
      </c>
      <c r="B1624" s="6" t="s">
        <v>1595</v>
      </c>
    </row>
    <row r="1625" spans="1:2" x14ac:dyDescent="0.3">
      <c r="A1625" s="7" t="str">
        <f>HYPERLINK("http://www.eatonpowersource.com/products/configure/screw-in%20cartridge%20valves/details/02-161135","02-161135")</f>
        <v>02-161135</v>
      </c>
      <c r="B1625" s="8" t="s">
        <v>1596</v>
      </c>
    </row>
    <row r="1626" spans="1:2" x14ac:dyDescent="0.3">
      <c r="A1626" s="5" t="str">
        <f>HYPERLINK("http://www.eatonpowersource.com/products/configure/screw-in%20cartridge%20valves/details/02-161213","02-161213")</f>
        <v>02-161213</v>
      </c>
      <c r="B1626" s="6" t="s">
        <v>1597</v>
      </c>
    </row>
    <row r="1627" spans="1:2" x14ac:dyDescent="0.3">
      <c r="A1627" s="7" t="str">
        <f>HYPERLINK("http://www.eatonpowersource.com/products/configure/screw-in%20cartridge%20valves/details/401aa00027a","401AA00027A")</f>
        <v>401AA00027A</v>
      </c>
      <c r="B1627" s="8" t="s">
        <v>1598</v>
      </c>
    </row>
    <row r="1628" spans="1:2" x14ac:dyDescent="0.3">
      <c r="A1628" s="5" t="str">
        <f>HYPERLINK("http://www.eatonpowersource.com/products/configure/screw-in%20cartridge%20valves/details/401aa00028a","401AA00028A")</f>
        <v>401AA00028A</v>
      </c>
      <c r="B1628" s="6" t="s">
        <v>1599</v>
      </c>
    </row>
    <row r="1629" spans="1:2" x14ac:dyDescent="0.3">
      <c r="A1629" s="7" t="str">
        <f>HYPERLINK("http://www.eatonpowersource.com/products/configure/screw-in%20cartridge%20valves/details/401aa00037a","401AA00037A")</f>
        <v>401AA00037A</v>
      </c>
      <c r="B1629" s="8" t="s">
        <v>1600</v>
      </c>
    </row>
    <row r="1630" spans="1:2" x14ac:dyDescent="0.3">
      <c r="A1630" s="5" t="str">
        <f>HYPERLINK("http://www.eatonpowersource.com/products/configure/screw-in%20cartridge%20valves/details/401aa00038a","401AA00038A")</f>
        <v>401AA00038A</v>
      </c>
      <c r="B1630" s="6" t="s">
        <v>1601</v>
      </c>
    </row>
    <row r="1631" spans="1:2" x14ac:dyDescent="0.3">
      <c r="A1631" s="7" t="str">
        <f>HYPERLINK("http://www.eatonpowersource.com/products/configure/screw-in%20cartridge%20valves/details/401aa00039a","401AA00039A")</f>
        <v>401AA00039A</v>
      </c>
      <c r="B1631" s="8" t="s">
        <v>1602</v>
      </c>
    </row>
    <row r="1632" spans="1:2" x14ac:dyDescent="0.3">
      <c r="A1632" s="5" t="str">
        <f>HYPERLINK("http://www.eatonpowersource.com/products/configure/screw-in%20cartridge%20valves/details/401aa00040a","401AA00040A")</f>
        <v>401AA00040A</v>
      </c>
      <c r="B1632" s="6" t="s">
        <v>1603</v>
      </c>
    </row>
    <row r="1633" spans="1:2" x14ac:dyDescent="0.3">
      <c r="A1633" s="7" t="str">
        <f>HYPERLINK("http://www.eatonpowersource.com/products/configure/screw-in%20cartridge%20valves/details/401aa00042a","401AA00042A")</f>
        <v>401AA00042A</v>
      </c>
      <c r="B1633" s="8" t="s">
        <v>1604</v>
      </c>
    </row>
    <row r="1634" spans="1:2" x14ac:dyDescent="0.3">
      <c r="A1634" s="5" t="str">
        <f>HYPERLINK("http://www.eatonpowersource.com/products/configure/screw-in%20cartridge%20valves/details/401aa00047a","401AA00047A")</f>
        <v>401AA00047A</v>
      </c>
      <c r="B1634" s="6" t="s">
        <v>1605</v>
      </c>
    </row>
    <row r="1635" spans="1:2" x14ac:dyDescent="0.3">
      <c r="A1635" s="7" t="str">
        <f>HYPERLINK("http://www.eatonpowersource.com/products/configure/screw-in%20cartridge%20valves/details/401aa00048a","401AA00048A")</f>
        <v>401AA00048A</v>
      </c>
      <c r="B1635" s="8" t="s">
        <v>1606</v>
      </c>
    </row>
    <row r="1636" spans="1:2" x14ac:dyDescent="0.3">
      <c r="A1636" s="5" t="str">
        <f>HYPERLINK("http://www.eatonpowersource.com/products/configure/screw-in%20cartridge%20valves/details/401aa00049a","401AA00049A")</f>
        <v>401AA00049A</v>
      </c>
      <c r="B1636" s="6" t="s">
        <v>1607</v>
      </c>
    </row>
    <row r="1637" spans="1:2" x14ac:dyDescent="0.3">
      <c r="A1637" s="7" t="str">
        <f>HYPERLINK("http://www.eatonpowersource.com/products/configure/screw-in%20cartridge%20valves/details/401aa00050a","401AA00050A")</f>
        <v>401AA00050A</v>
      </c>
      <c r="B1637" s="8" t="s">
        <v>1608</v>
      </c>
    </row>
    <row r="1638" spans="1:2" x14ac:dyDescent="0.3">
      <c r="A1638" s="5" t="str">
        <f>HYPERLINK("http://www.eatonpowersource.com/products/configure/screw-in%20cartridge%20valves/details/401aa00051a","401AA00051A")</f>
        <v>401AA00051A</v>
      </c>
      <c r="B1638" s="6" t="s">
        <v>1609</v>
      </c>
    </row>
    <row r="1639" spans="1:2" x14ac:dyDescent="0.3">
      <c r="A1639" s="7" t="str">
        <f>HYPERLINK("http://www.eatonpowersource.com/products/configure/screw-in%20cartridge%20valves/details/401aa00052a","401AA00052A")</f>
        <v>401AA00052A</v>
      </c>
      <c r="B1639" s="8" t="s">
        <v>1610</v>
      </c>
    </row>
    <row r="1640" spans="1:2" x14ac:dyDescent="0.3">
      <c r="A1640" s="5" t="str">
        <f>HYPERLINK("http://www.eatonpowersource.com/products/configure/screw-in%20cartridge%20valves/details/401aa00142a","401AA00142A")</f>
        <v>401AA00142A</v>
      </c>
      <c r="B1640" s="6" t="s">
        <v>1611</v>
      </c>
    </row>
    <row r="1641" spans="1:2" x14ac:dyDescent="0.3">
      <c r="A1641" s="7" t="str">
        <f>HYPERLINK("http://www.eatonpowersource.com/products/configure/screw-in%20cartridge%20valves/details/401aa00149a","401AA00149A")</f>
        <v>401AA00149A</v>
      </c>
      <c r="B1641" s="8" t="s">
        <v>1612</v>
      </c>
    </row>
    <row r="1642" spans="1:2" x14ac:dyDescent="0.3">
      <c r="A1642" s="5" t="str">
        <f>HYPERLINK("http://www.eatonpowersource.com/products/configure/screw-in%20cartridge%20valves/details/401aa00228a","401AA00228A")</f>
        <v>401AA00228A</v>
      </c>
      <c r="B1642" s="6" t="s">
        <v>1613</v>
      </c>
    </row>
    <row r="1643" spans="1:2" x14ac:dyDescent="0.3">
      <c r="A1643" s="7" t="str">
        <f>HYPERLINK("http://www.eatonpowersource.com/products/configure/screw-in%20cartridge%20valves/details/401aa00230a","401AA00230A")</f>
        <v>401AA00230A</v>
      </c>
      <c r="B1643" s="8" t="s">
        <v>1614</v>
      </c>
    </row>
    <row r="1644" spans="1:2" x14ac:dyDescent="0.3">
      <c r="A1644" s="5" t="str">
        <f>HYPERLINK("http://www.eatonpowersource.com/products/configure/screw-in%20cartridge%20valves/details/401aa00231a","401AA00231A")</f>
        <v>401AA00231A</v>
      </c>
      <c r="B1644" s="6" t="s">
        <v>1615</v>
      </c>
    </row>
    <row r="1645" spans="1:2" x14ac:dyDescent="0.3">
      <c r="A1645" s="7" t="str">
        <f>HYPERLINK("http://www.eatonpowersource.com/products/configure/screw-in%20cartridge%20valves/details/401aa00234a","401AA00234A")</f>
        <v>401AA00234A</v>
      </c>
      <c r="B1645" s="8" t="s">
        <v>1616</v>
      </c>
    </row>
    <row r="1646" spans="1:2" x14ac:dyDescent="0.3">
      <c r="A1646" s="5" t="str">
        <f>HYPERLINK("http://www.eatonpowersource.com/products/configure/screw-in%20cartridge%20valves/details/401aa00235a","401AA00235A")</f>
        <v>401AA00235A</v>
      </c>
      <c r="B1646" s="6" t="s">
        <v>1617</v>
      </c>
    </row>
    <row r="1647" spans="1:2" x14ac:dyDescent="0.3">
      <c r="A1647" s="7" t="str">
        <f>HYPERLINK("http://www.eatonpowersource.com/products/configure/screw-in%20cartridge%20valves/details/401aa00236a","401AA00236A")</f>
        <v>401AA00236A</v>
      </c>
      <c r="B1647" s="8" t="s">
        <v>1618</v>
      </c>
    </row>
    <row r="1648" spans="1:2" x14ac:dyDescent="0.3">
      <c r="A1648" s="5" t="str">
        <f>HYPERLINK("http://www.eatonpowersource.com/products/configure/screw-in%20cartridge%20valves/details/401aa00240a","401AA00240A")</f>
        <v>401AA00240A</v>
      </c>
      <c r="B1648" s="6" t="s">
        <v>1619</v>
      </c>
    </row>
    <row r="1649" spans="1:2" x14ac:dyDescent="0.3">
      <c r="A1649" s="7" t="str">
        <f>HYPERLINK("http://www.eatonpowersource.com/products/configure/screw-in%20cartridge%20valves/details/401aa00245a","401AA00245A")</f>
        <v>401AA00245A</v>
      </c>
      <c r="B1649" s="8" t="s">
        <v>1620</v>
      </c>
    </row>
    <row r="1650" spans="1:2" x14ac:dyDescent="0.3">
      <c r="A1650" s="5" t="str">
        <f>HYPERLINK("http://www.eatonpowersource.com/products/configure/screw-in%20cartridge%20valves/details/401aa00247a","401AA00247A")</f>
        <v>401AA00247A</v>
      </c>
      <c r="B1650" s="6" t="s">
        <v>1621</v>
      </c>
    </row>
    <row r="1651" spans="1:2" x14ac:dyDescent="0.3">
      <c r="A1651" s="7" t="str">
        <f>HYPERLINK("http://www.eatonpowersource.com/products/configure/screw-in%20cartridge%20valves/details/401aa00255a","401AA00255A")</f>
        <v>401AA00255A</v>
      </c>
      <c r="B1651" s="8" t="s">
        <v>1622</v>
      </c>
    </row>
    <row r="1652" spans="1:2" x14ac:dyDescent="0.3">
      <c r="A1652" s="5" t="str">
        <f>HYPERLINK("http://www.eatonpowersource.com/products/configure/screw-in%20cartridge%20valves/details/401aa00258a","401AA00258A")</f>
        <v>401AA00258A</v>
      </c>
      <c r="B1652" s="6" t="s">
        <v>1623</v>
      </c>
    </row>
    <row r="1653" spans="1:2" x14ac:dyDescent="0.3">
      <c r="A1653" s="7" t="str">
        <f>HYPERLINK("http://www.eatonpowersource.com/products/configure/screw-in%20cartridge%20valves/details/401aa00259a","401AA00259A")</f>
        <v>401AA00259A</v>
      </c>
      <c r="B1653" s="8" t="s">
        <v>1624</v>
      </c>
    </row>
    <row r="1654" spans="1:2" x14ac:dyDescent="0.3">
      <c r="A1654" s="5" t="str">
        <f>HYPERLINK("http://www.eatonpowersource.com/products/configure/screw-in%20cartridge%20valves/details/401aa00431a","401AA00431A")</f>
        <v>401AA00431A</v>
      </c>
      <c r="B1654" s="6" t="s">
        <v>1625</v>
      </c>
    </row>
    <row r="1655" spans="1:2" x14ac:dyDescent="0.3">
      <c r="A1655" s="7" t="str">
        <f>HYPERLINK("http://www.eatonpowersource.com/products/configure/screw-in%20cartridge%20valves/details/565612","565612")</f>
        <v>565612</v>
      </c>
      <c r="B1655" s="8" t="s">
        <v>1626</v>
      </c>
    </row>
    <row r="1656" spans="1:2" x14ac:dyDescent="0.3">
      <c r="A1656" s="5" t="str">
        <f>HYPERLINK("http://www.eatonpowersource.com/products/configure/screw-in%20cartridge%20valves/details/565613","565613")</f>
        <v>565613</v>
      </c>
      <c r="B1656" s="6" t="s">
        <v>1627</v>
      </c>
    </row>
    <row r="1657" spans="1:2" x14ac:dyDescent="0.3">
      <c r="A1657" s="7" t="str">
        <f>HYPERLINK("http://www.eatonpowersource.com/products/configure/screw-in%20cartridge%20valves/details/565614","565614")</f>
        <v>565614</v>
      </c>
      <c r="B1657" s="8" t="s">
        <v>1628</v>
      </c>
    </row>
    <row r="1658" spans="1:2" x14ac:dyDescent="0.3">
      <c r="A1658" s="5" t="str">
        <f>HYPERLINK("http://www.eatonpowersource.com/products/configure/screw-in%20cartridge%20valves/details/566262","566262")</f>
        <v>566262</v>
      </c>
      <c r="B1658" s="6" t="s">
        <v>1629</v>
      </c>
    </row>
    <row r="1659" spans="1:2" x14ac:dyDescent="0.3">
      <c r="A1659" s="7" t="str">
        <f>HYPERLINK("http://www.eatonpowersource.com/products/configure/screw-in%20cartridge%20valves/details/566360","566360")</f>
        <v>566360</v>
      </c>
      <c r="B1659" s="8" t="s">
        <v>1630</v>
      </c>
    </row>
    <row r="1660" spans="1:2" x14ac:dyDescent="0.3">
      <c r="A1660" s="5" t="str">
        <f>HYPERLINK("http://www.eatonpowersource.com/products/configure/screw-in%20cartridge%20valves/details/566377","566377")</f>
        <v>566377</v>
      </c>
      <c r="B1660" s="6" t="s">
        <v>1631</v>
      </c>
    </row>
    <row r="1661" spans="1:2" x14ac:dyDescent="0.3">
      <c r="A1661" s="7" t="str">
        <f>HYPERLINK("http://www.eatonpowersource.com/products/configure/screw-in%20cartridge%20valves/details/02-173182","02-173182")</f>
        <v>02-173182</v>
      </c>
      <c r="B1661" s="8" t="s">
        <v>1632</v>
      </c>
    </row>
    <row r="1662" spans="1:2" x14ac:dyDescent="0.3">
      <c r="A1662" s="5" t="str">
        <f>HYPERLINK("http://www.eatonpowersource.com/products/configure/screw-in%20cartridge%20valves/details/02-173183","02-173183")</f>
        <v>02-173183</v>
      </c>
      <c r="B1662" s="6" t="s">
        <v>1633</v>
      </c>
    </row>
    <row r="1663" spans="1:2" x14ac:dyDescent="0.3">
      <c r="A1663" s="7" t="str">
        <f>HYPERLINK("http://www.eatonpowersource.com/products/configure/screw-in%20cartridge%20valves/details/02-173267","02-173267")</f>
        <v>02-173267</v>
      </c>
      <c r="B1663" s="8" t="s">
        <v>1634</v>
      </c>
    </row>
    <row r="1664" spans="1:2" x14ac:dyDescent="0.3">
      <c r="A1664" s="5" t="str">
        <f>HYPERLINK("http://www.eatonpowersource.com/products/configure/screw-in%20cartridge%20valves/details/02-174965","02-174965")</f>
        <v>02-174965</v>
      </c>
      <c r="B1664" s="6" t="s">
        <v>1635</v>
      </c>
    </row>
    <row r="1665" spans="1:2" x14ac:dyDescent="0.3">
      <c r="A1665" s="7" t="str">
        <f>HYPERLINK("http://www.eatonpowersource.com/products/configure/screw-in%20cartridge%20valves/details/02-174966","02-174966")</f>
        <v>02-174966</v>
      </c>
      <c r="B1665" s="8" t="s">
        <v>1636</v>
      </c>
    </row>
    <row r="1666" spans="1:2" x14ac:dyDescent="0.3">
      <c r="A1666" s="5" t="str">
        <f>HYPERLINK("http://www.eatonpowersource.com/products/configure/screw-in%20cartridge%20valves/details/02-174967","02-174967")</f>
        <v>02-174967</v>
      </c>
      <c r="B1666" s="6" t="s">
        <v>1637</v>
      </c>
    </row>
    <row r="1667" spans="1:2" x14ac:dyDescent="0.3">
      <c r="A1667" s="7" t="str">
        <f>HYPERLINK("http://www.eatonpowersource.com/products/configure/screw-in%20cartridge%20valves/details/02-199885","02-199885")</f>
        <v>02-199885</v>
      </c>
      <c r="B1667" s="8" t="s">
        <v>1638</v>
      </c>
    </row>
    <row r="1668" spans="1:2" x14ac:dyDescent="0.3">
      <c r="A1668" s="5" t="str">
        <f>HYPERLINK("http://www.eatonpowersource.com/products/configure/screw-in%20cartridge%20valves/details/02-201684","02-201684")</f>
        <v>02-201684</v>
      </c>
      <c r="B1668" s="6" t="s">
        <v>1639</v>
      </c>
    </row>
    <row r="1669" spans="1:2" x14ac:dyDescent="0.3">
      <c r="A1669" s="7" t="str">
        <f>HYPERLINK("http://www.eatonpowersource.com/products/configure/screw-in%20cartridge%20valves/details/3ic501.0s","3IC501.0S")</f>
        <v>3IC501.0S</v>
      </c>
      <c r="B1669" s="8" t="s">
        <v>1640</v>
      </c>
    </row>
    <row r="1670" spans="1:2" x14ac:dyDescent="0.3">
      <c r="A1670" s="5" t="str">
        <f>HYPERLINK("http://www.eatonpowersource.com/products/configure/screw-in%20cartridge%20valves/details/401aa00008a","401AA00008A")</f>
        <v>401AA00008A</v>
      </c>
      <c r="B1670" s="6" t="s">
        <v>1641</v>
      </c>
    </row>
    <row r="1671" spans="1:2" x14ac:dyDescent="0.3">
      <c r="A1671" s="7" t="str">
        <f>HYPERLINK("http://www.eatonpowersource.com/products/configure/screw-in%20cartridge%20valves/details/401aa00014a","401AA00014A")</f>
        <v>401AA00014A</v>
      </c>
      <c r="B1671" s="8" t="s">
        <v>1642</v>
      </c>
    </row>
    <row r="1672" spans="1:2" x14ac:dyDescent="0.3">
      <c r="A1672" s="5" t="str">
        <f>HYPERLINK("http://www.eatonpowersource.com/products/configure/screw-in%20cartridge%20valves/details/401aa00022a","401AA00022A")</f>
        <v>401AA00022A</v>
      </c>
      <c r="B1672" s="6" t="s">
        <v>1643</v>
      </c>
    </row>
    <row r="1673" spans="1:2" x14ac:dyDescent="0.3">
      <c r="A1673" s="7" t="str">
        <f>HYPERLINK("http://www.eatonpowersource.com/products/configure/screw-in%20cartridge%20valves/details/401aa00023a","401AA00023A")</f>
        <v>401AA00023A</v>
      </c>
      <c r="B1673" s="8" t="s">
        <v>1644</v>
      </c>
    </row>
    <row r="1674" spans="1:2" x14ac:dyDescent="0.3">
      <c r="A1674" s="5" t="str">
        <f>HYPERLINK("http://www.eatonpowersource.com/products/configure/screw-in%20cartridge%20valves/details/401aa00092a","401AA00092A")</f>
        <v>401AA00092A</v>
      </c>
      <c r="B1674" s="6" t="s">
        <v>1645</v>
      </c>
    </row>
    <row r="1675" spans="1:2" x14ac:dyDescent="0.3">
      <c r="A1675" s="7" t="str">
        <f>HYPERLINK("http://www.eatonpowersource.com/products/configure/screw-in%20cartridge%20valves/details/401aa00181a","401AA00181A")</f>
        <v>401AA00181A</v>
      </c>
      <c r="B1675" s="8" t="s">
        <v>1646</v>
      </c>
    </row>
    <row r="1676" spans="1:2" x14ac:dyDescent="0.3">
      <c r="A1676" s="5" t="str">
        <f>HYPERLINK("http://www.eatonpowersource.com/products/configure/screw-in%20cartridge%20valves/details/401aa00300a","401AA00300A")</f>
        <v>401AA00300A</v>
      </c>
      <c r="B1676" s="6" t="s">
        <v>1647</v>
      </c>
    </row>
    <row r="1677" spans="1:2" x14ac:dyDescent="0.3">
      <c r="A1677" s="7" t="str">
        <f>HYPERLINK("http://www.eatonpowersource.com/products/configure/screw-in%20cartridge%20valves/details/401aa00454a","401AA00454A")</f>
        <v>401AA00454A</v>
      </c>
      <c r="B1677" s="8" t="s">
        <v>1648</v>
      </c>
    </row>
    <row r="1678" spans="1:2" x14ac:dyDescent="0.3">
      <c r="A1678" s="5" t="str">
        <f>HYPERLINK("http://www.eatonpowersource.com/products/configure/screw-in%20cartridge%20valves/details/565968","565968")</f>
        <v>565968</v>
      </c>
      <c r="B1678" s="6" t="s">
        <v>1649</v>
      </c>
    </row>
    <row r="1679" spans="1:2" x14ac:dyDescent="0.3">
      <c r="A1679" s="7" t="str">
        <f>HYPERLINK("http://www.eatonpowersource.com/products/configure/screw-in%20cartridge%20valves/details/bxp18712-02-3ws","BXP18712-02-3WS")</f>
        <v>BXP18712-02-3WS</v>
      </c>
      <c r="B1679" s="8" t="s">
        <v>1650</v>
      </c>
    </row>
    <row r="1680" spans="1:2" x14ac:dyDescent="0.3">
      <c r="A1680" s="5" t="str">
        <f>HYPERLINK("http://www.eatonpowersource.com/products/configure/screw-in%20cartridge%20valves/details/02-112887","02-112887")</f>
        <v>02-112887</v>
      </c>
      <c r="B1680" s="6" t="s">
        <v>1651</v>
      </c>
    </row>
    <row r="1681" spans="1:2" x14ac:dyDescent="0.3">
      <c r="A1681" s="7" t="str">
        <f>HYPERLINK("http://www.eatonpowersource.com/products/configure/screw-in%20cartridge%20valves/details/02-163618","02-163618")</f>
        <v>02-163618</v>
      </c>
      <c r="B1681" s="8" t="s">
        <v>1652</v>
      </c>
    </row>
    <row r="1682" spans="1:2" x14ac:dyDescent="0.3">
      <c r="A1682" s="5" t="str">
        <f>HYPERLINK("http://www.eatonpowersource.com/products/configure/screw-in%20cartridge%20valves/details/02-163652","02-163652")</f>
        <v>02-163652</v>
      </c>
      <c r="B1682" s="6" t="s">
        <v>1653</v>
      </c>
    </row>
    <row r="1683" spans="1:2" x14ac:dyDescent="0.3">
      <c r="A1683" s="7" t="str">
        <f>HYPERLINK("http://www.eatonpowersource.com/products/configure/screw-in%20cartridge%20valves/details/02-163782","02-163782")</f>
        <v>02-163782</v>
      </c>
      <c r="B1683" s="8" t="s">
        <v>1654</v>
      </c>
    </row>
    <row r="1684" spans="1:2" x14ac:dyDescent="0.3">
      <c r="A1684" s="5" t="str">
        <f>HYPERLINK("http://www.eatonpowersource.com/products/configure/screw-in%20cartridge%20valves/details/02-165921","02-165921")</f>
        <v>02-165921</v>
      </c>
      <c r="B1684" s="6" t="s">
        <v>1655</v>
      </c>
    </row>
    <row r="1685" spans="1:2" x14ac:dyDescent="0.3">
      <c r="A1685" s="7" t="str">
        <f>HYPERLINK("http://www.eatonpowersource.com/products/configure/screw-in%20cartridge%20valves/details/02-165978","02-165978")</f>
        <v>02-165978</v>
      </c>
      <c r="B1685" s="8" t="s">
        <v>1656</v>
      </c>
    </row>
    <row r="1686" spans="1:2" x14ac:dyDescent="0.3">
      <c r="A1686" s="5" t="str">
        <f>HYPERLINK("http://www.eatonpowersource.com/products/configure/screw-in%20cartridge%20valves/details/02-166001","02-166001")</f>
        <v>02-166001</v>
      </c>
      <c r="B1686" s="6" t="s">
        <v>1657</v>
      </c>
    </row>
    <row r="1687" spans="1:2" x14ac:dyDescent="0.3">
      <c r="A1687" s="7" t="str">
        <f>HYPERLINK("http://www.eatonpowersource.com/products/configure/screw-in%20cartridge%20valves/details/02-166110","02-166110")</f>
        <v>02-166110</v>
      </c>
      <c r="B1687" s="8" t="s">
        <v>1658</v>
      </c>
    </row>
    <row r="1688" spans="1:2" x14ac:dyDescent="0.3">
      <c r="A1688" s="5" t="str">
        <f>HYPERLINK("http://www.eatonpowersource.com/products/configure/screw-in%20cartridge%20valves/details/02-175508","02-175508")</f>
        <v>02-175508</v>
      </c>
      <c r="B1688" s="6" t="s">
        <v>1659</v>
      </c>
    </row>
    <row r="1689" spans="1:2" x14ac:dyDescent="0.3">
      <c r="A1689" s="7" t="str">
        <f>HYPERLINK("http://www.eatonpowersource.com/products/configure/screw-in%20cartridge%20valves/details/02-175820","02-175820")</f>
        <v>02-175820</v>
      </c>
      <c r="B1689" s="8" t="s">
        <v>1660</v>
      </c>
    </row>
    <row r="1690" spans="1:2" x14ac:dyDescent="0.3">
      <c r="A1690" s="5" t="str">
        <f>HYPERLINK("http://www.eatonpowersource.com/products/configure/screw-in%20cartridge%20valves/details/02-177298","02-177298")</f>
        <v>02-177298</v>
      </c>
      <c r="B1690" s="6" t="s">
        <v>1661</v>
      </c>
    </row>
    <row r="1691" spans="1:2" x14ac:dyDescent="0.3">
      <c r="A1691" s="7" t="str">
        <f>HYPERLINK("http://www.eatonpowersource.com/products/configure/screw-in%20cartridge%20valves/details/02-198929","02-198929")</f>
        <v>02-198929</v>
      </c>
      <c r="B1691" s="8" t="s">
        <v>1662</v>
      </c>
    </row>
    <row r="1692" spans="1:2" x14ac:dyDescent="0.3">
      <c r="A1692" s="5" t="str">
        <f>HYPERLINK("http://www.eatonpowersource.com/products/configure/screw-in%20cartridge%20valves/details/02-199376","02-199376")</f>
        <v>02-199376</v>
      </c>
      <c r="B1692" s="6" t="s">
        <v>1663</v>
      </c>
    </row>
    <row r="1693" spans="1:2" x14ac:dyDescent="0.3">
      <c r="A1693" s="7" t="str">
        <f>HYPERLINK("http://www.eatonpowersource.com/products/configure/screw-in%20cartridge%20valves/details/02-199503","02-199503")</f>
        <v>02-199503</v>
      </c>
      <c r="B1693" s="8" t="s">
        <v>1664</v>
      </c>
    </row>
    <row r="1694" spans="1:2" x14ac:dyDescent="0.3">
      <c r="A1694" s="5" t="str">
        <f>HYPERLINK("http://www.eatonpowersource.com/products/configure/screw-in%20cartridge%20valves/details/02-201244","02-201244")</f>
        <v>02-201244</v>
      </c>
      <c r="B1694" s="6" t="s">
        <v>1665</v>
      </c>
    </row>
    <row r="1695" spans="1:2" x14ac:dyDescent="0.3">
      <c r="A1695" s="7" t="str">
        <f>HYPERLINK("http://www.eatonpowersource.com/products/configure/screw-in%20cartridge%20valves/details/304aa00032a","304AA00032A")</f>
        <v>304AA00032A</v>
      </c>
      <c r="B1695" s="8" t="s">
        <v>1666</v>
      </c>
    </row>
    <row r="1696" spans="1:2" x14ac:dyDescent="0.3">
      <c r="A1696" s="5" t="str">
        <f>HYPERLINK("http://www.eatonpowersource.com/products/configure/screw-in%20cartridge%20valves/details/304aa00067a","304AA00067A")</f>
        <v>304AA00067A</v>
      </c>
      <c r="B1696" s="6" t="s">
        <v>1667</v>
      </c>
    </row>
    <row r="1697" spans="1:2" x14ac:dyDescent="0.3">
      <c r="A1697" s="7" t="str">
        <f>HYPERLINK("http://www.eatonpowersource.com/products/configure/screw-in%20cartridge%20valves/details/304aa00080a","304AA00080A")</f>
        <v>304AA00080A</v>
      </c>
      <c r="B1697" s="8" t="s">
        <v>1668</v>
      </c>
    </row>
    <row r="1698" spans="1:2" x14ac:dyDescent="0.3">
      <c r="A1698" s="5" t="str">
        <f>HYPERLINK("http://www.eatonpowersource.com/products/configure/screw-in%20cartridge%20valves/details/304aa00081a","304AA00081A")</f>
        <v>304AA00081A</v>
      </c>
      <c r="B1698" s="6" t="s">
        <v>1669</v>
      </c>
    </row>
    <row r="1699" spans="1:2" x14ac:dyDescent="0.3">
      <c r="A1699" s="7" t="str">
        <f>HYPERLINK("http://www.eatonpowersource.com/products/configure/screw-in%20cartridge%20valves/details/304aa00085a","304AA00085A")</f>
        <v>304AA00085A</v>
      </c>
      <c r="B1699" s="8" t="s">
        <v>1670</v>
      </c>
    </row>
    <row r="1700" spans="1:2" x14ac:dyDescent="0.3">
      <c r="A1700" s="5" t="str">
        <f>HYPERLINK("http://www.eatonpowersource.com/products/configure/screw-in%20cartridge%20valves/details/304aa00122a","304AA00122A")</f>
        <v>304AA00122A</v>
      </c>
      <c r="B1700" s="6" t="s">
        <v>1671</v>
      </c>
    </row>
    <row r="1701" spans="1:2" x14ac:dyDescent="0.3">
      <c r="A1701" s="7" t="str">
        <f>HYPERLINK("http://www.eatonpowersource.com/products/configure/screw-in%20cartridge%20valves/details/304aa00153a","304AA00153A")</f>
        <v>304AA00153A</v>
      </c>
      <c r="B1701" s="8" t="s">
        <v>1672</v>
      </c>
    </row>
    <row r="1702" spans="1:2" x14ac:dyDescent="0.3">
      <c r="A1702" s="5" t="str">
        <f>HYPERLINK("http://www.eatonpowersource.com/products/configure/screw-in%20cartridge%20valves/details/402aa00053a","402AA00053A")</f>
        <v>402AA00053A</v>
      </c>
      <c r="B1702" s="6" t="s">
        <v>1673</v>
      </c>
    </row>
    <row r="1703" spans="1:2" x14ac:dyDescent="0.3">
      <c r="A1703" s="7" t="str">
        <f>HYPERLINK("http://www.eatonpowersource.com/products/configure/screw-in%20cartridge%20valves/details/402aa00054a","402AA00054A")</f>
        <v>402AA00054A</v>
      </c>
      <c r="B1703" s="8" t="s">
        <v>1674</v>
      </c>
    </row>
    <row r="1704" spans="1:2" x14ac:dyDescent="0.3">
      <c r="A1704" s="5" t="str">
        <f>HYPERLINK("http://www.eatonpowersource.com/products/configure/screw-in%20cartridge%20valves/details/402aa00056a","402AA00056A")</f>
        <v>402AA00056A</v>
      </c>
      <c r="B1704" s="6" t="s">
        <v>1675</v>
      </c>
    </row>
    <row r="1705" spans="1:2" x14ac:dyDescent="0.3">
      <c r="A1705" s="7" t="str">
        <f>HYPERLINK("http://www.eatonpowersource.com/products/configure/screw-in%20cartridge%20valves/details/402aa00057a","402AA00057A")</f>
        <v>402AA00057A</v>
      </c>
      <c r="B1705" s="8" t="s">
        <v>1676</v>
      </c>
    </row>
    <row r="1706" spans="1:2" x14ac:dyDescent="0.3">
      <c r="A1706" s="5" t="str">
        <f>HYPERLINK("http://www.eatonpowersource.com/products/configure/screw-in%20cartridge%20valves/details/402aa00058a","402AA00058A")</f>
        <v>402AA00058A</v>
      </c>
      <c r="B1706" s="6" t="s">
        <v>1677</v>
      </c>
    </row>
    <row r="1707" spans="1:2" x14ac:dyDescent="0.3">
      <c r="A1707" s="7" t="str">
        <f>HYPERLINK("http://www.eatonpowersource.com/products/configure/screw-in%20cartridge%20valves/details/402aa00065a","402AA00065A")</f>
        <v>402AA00065A</v>
      </c>
      <c r="B1707" s="8" t="s">
        <v>1678</v>
      </c>
    </row>
    <row r="1708" spans="1:2" x14ac:dyDescent="0.3">
      <c r="A1708" s="5" t="str">
        <f>HYPERLINK("http://www.eatonpowersource.com/products/configure/screw-in%20cartridge%20valves/details/402aa00328a","402AA00328A")</f>
        <v>402AA00328A</v>
      </c>
      <c r="B1708" s="6" t="s">
        <v>1679</v>
      </c>
    </row>
    <row r="1709" spans="1:2" x14ac:dyDescent="0.3">
      <c r="A1709" s="7" t="str">
        <f>HYPERLINK("http://www.eatonpowersource.com/products/configure/screw-in%20cartridge%20valves/details/402aa00338a","402AA00338A")</f>
        <v>402AA00338A</v>
      </c>
      <c r="B1709" s="8" t="s">
        <v>1680</v>
      </c>
    </row>
    <row r="1710" spans="1:2" x14ac:dyDescent="0.3">
      <c r="A1710" s="5" t="str">
        <f>HYPERLINK("http://www.eatonpowersource.com/products/configure/screw-in%20cartridge%20valves/details/402aa00340a","402AA00340A")</f>
        <v>402AA00340A</v>
      </c>
      <c r="B1710" s="6" t="s">
        <v>1681</v>
      </c>
    </row>
    <row r="1711" spans="1:2" x14ac:dyDescent="0.3">
      <c r="A1711" s="7" t="str">
        <f>HYPERLINK("http://www.eatonpowersource.com/products/configure/screw-in%20cartridge%20valves/details/402aa00344a","402AA00344A")</f>
        <v>402AA00344A</v>
      </c>
      <c r="B1711" s="8" t="s">
        <v>1682</v>
      </c>
    </row>
    <row r="1712" spans="1:2" x14ac:dyDescent="0.3">
      <c r="A1712" s="5" t="str">
        <f>HYPERLINK("http://www.eatonpowersource.com/products/configure/screw-in%20cartridge%20valves/details/402aa00349a","402AA00349A")</f>
        <v>402AA00349A</v>
      </c>
      <c r="B1712" s="6" t="s">
        <v>1683</v>
      </c>
    </row>
    <row r="1713" spans="1:2" x14ac:dyDescent="0.3">
      <c r="A1713" s="7" t="str">
        <f>HYPERLINK("http://www.eatonpowersource.com/products/configure/screw-in%20cartridge%20valves/details/402aa00352a","402AA00352A")</f>
        <v>402AA00352A</v>
      </c>
      <c r="B1713" s="8" t="s">
        <v>1684</v>
      </c>
    </row>
    <row r="1714" spans="1:2" x14ac:dyDescent="0.3">
      <c r="A1714" s="5" t="str">
        <f>HYPERLINK("http://www.eatonpowersource.com/products/configure/screw-in%20cartridge%20valves/details/402aa00364a","402AA00364A")</f>
        <v>402AA00364A</v>
      </c>
      <c r="B1714" s="6" t="s">
        <v>1685</v>
      </c>
    </row>
    <row r="1715" spans="1:2" x14ac:dyDescent="0.3">
      <c r="A1715" s="7" t="str">
        <f>HYPERLINK("http://www.eatonpowersource.com/products/configure/screw-in%20cartridge%20valves/details/402aa00424a","402AA00424A")</f>
        <v>402AA00424A</v>
      </c>
      <c r="B1715" s="8" t="s">
        <v>1686</v>
      </c>
    </row>
    <row r="1716" spans="1:2" x14ac:dyDescent="0.3">
      <c r="A1716" s="5" t="str">
        <f>HYPERLINK("http://www.eatonpowersource.com/products/configure/screw-in%20cartridge%20valves/details/402aa00519a","402AA00519A")</f>
        <v>402AA00519A</v>
      </c>
      <c r="B1716" s="6" t="s">
        <v>1687</v>
      </c>
    </row>
    <row r="1717" spans="1:2" x14ac:dyDescent="0.3">
      <c r="A1717" s="7" t="str">
        <f>HYPERLINK("http://www.eatonpowersource.com/products/configure/screw-in%20cartridge%20valves/details/404aa00003a","404AA00003A")</f>
        <v>404AA00003A</v>
      </c>
      <c r="B1717" s="8" t="s">
        <v>1688</v>
      </c>
    </row>
    <row r="1718" spans="1:2" x14ac:dyDescent="0.3">
      <c r="A1718" s="5" t="str">
        <f>HYPERLINK("http://www.eatonpowersource.com/products/configure/screw-in%20cartridge%20valves/details/404aa00330a","404AA00330A")</f>
        <v>404AA00330A</v>
      </c>
      <c r="B1718" s="6" t="s">
        <v>1689</v>
      </c>
    </row>
    <row r="1719" spans="1:2" x14ac:dyDescent="0.3">
      <c r="A1719" s="7" t="str">
        <f>HYPERLINK("http://www.eatonpowersource.com/products/configure/screw-in%20cartridge%20valves/details/565622","565622")</f>
        <v>565622</v>
      </c>
      <c r="B1719" s="8" t="s">
        <v>1690</v>
      </c>
    </row>
    <row r="1720" spans="1:2" x14ac:dyDescent="0.3">
      <c r="A1720" s="5" t="str">
        <f>HYPERLINK("http://www.eatonpowersource.com/products/configure/screw-in%20cartridge%20valves/details/565623","565623")</f>
        <v>565623</v>
      </c>
      <c r="B1720" s="6" t="s">
        <v>1691</v>
      </c>
    </row>
    <row r="1721" spans="1:2" x14ac:dyDescent="0.3">
      <c r="A1721" s="7" t="str">
        <f>HYPERLINK("http://www.eatonpowersource.com/products/configure/screw-in%20cartridge%20valves/details/565624","565624")</f>
        <v>565624</v>
      </c>
      <c r="B1721" s="8" t="s">
        <v>1692</v>
      </c>
    </row>
    <row r="1722" spans="1:2" x14ac:dyDescent="0.3">
      <c r="A1722" s="5" t="str">
        <f>HYPERLINK("http://www.eatonpowersource.com/products/configure/screw-in%20cartridge%20valves/details/565625","565625")</f>
        <v>565625</v>
      </c>
      <c r="B1722" s="6" t="s">
        <v>1693</v>
      </c>
    </row>
    <row r="1723" spans="1:2" x14ac:dyDescent="0.3">
      <c r="A1723" s="7" t="str">
        <f>HYPERLINK("http://www.eatonpowersource.com/products/configure/screw-in%20cartridge%20valves/details/565632","565632")</f>
        <v>565632</v>
      </c>
      <c r="B1723" s="8" t="s">
        <v>1694</v>
      </c>
    </row>
    <row r="1724" spans="1:2" x14ac:dyDescent="0.3">
      <c r="A1724" s="5" t="str">
        <f>HYPERLINK("http://www.eatonpowersource.com/products/configure/screw-in%20cartridge%20valves/details/565852","565852")</f>
        <v>565852</v>
      </c>
      <c r="B1724" s="6" t="s">
        <v>1695</v>
      </c>
    </row>
    <row r="1725" spans="1:2" x14ac:dyDescent="0.3">
      <c r="A1725" s="7" t="str">
        <f>HYPERLINK("http://www.eatonpowersource.com/products/configure/screw-in%20cartridge%20valves/details/565882","565882")</f>
        <v>565882</v>
      </c>
      <c r="B1725" s="8" t="s">
        <v>1696</v>
      </c>
    </row>
    <row r="1726" spans="1:2" x14ac:dyDescent="0.3">
      <c r="A1726" s="5" t="str">
        <f>HYPERLINK("http://www.eatonpowersource.com/products/configure/screw-in%20cartridge%20valves/details/565950","565950")</f>
        <v>565950</v>
      </c>
      <c r="B1726" s="6" t="s">
        <v>1697</v>
      </c>
    </row>
    <row r="1727" spans="1:2" x14ac:dyDescent="0.3">
      <c r="A1727" s="7" t="str">
        <f>HYPERLINK("http://www.eatonpowersource.com/products/configure/screw-in%20cartridge%20valves/details/565965","565965")</f>
        <v>565965</v>
      </c>
      <c r="B1727" s="8" t="s">
        <v>1698</v>
      </c>
    </row>
    <row r="1728" spans="1:2" x14ac:dyDescent="0.3">
      <c r="A1728" s="5" t="str">
        <f>HYPERLINK("http://www.eatonpowersource.com/products/configure/screw-in%20cartridge%20valves/details/566088","566088")</f>
        <v>566088</v>
      </c>
      <c r="B1728" s="6" t="s">
        <v>1699</v>
      </c>
    </row>
    <row r="1729" spans="1:2" x14ac:dyDescent="0.3">
      <c r="A1729" s="7" t="str">
        <f>HYPERLINK("http://www.eatonpowersource.com/products/configure/screw-in%20cartridge%20valves/details/566146","566146")</f>
        <v>566146</v>
      </c>
      <c r="B1729" s="8" t="s">
        <v>1700</v>
      </c>
    </row>
    <row r="1730" spans="1:2" x14ac:dyDescent="0.3">
      <c r="A1730" s="5" t="str">
        <f>HYPERLINK("http://www.eatonpowersource.com/products/configure/screw-in%20cartridge%20valves/details/566163","566163")</f>
        <v>566163</v>
      </c>
      <c r="B1730" s="6" t="s">
        <v>1701</v>
      </c>
    </row>
    <row r="1731" spans="1:2" x14ac:dyDescent="0.3">
      <c r="A1731" s="7" t="str">
        <f>HYPERLINK("http://www.eatonpowersource.com/products/configure/screw-in%20cartridge%20valves/details/566261","566261")</f>
        <v>566261</v>
      </c>
      <c r="B1731" s="8" t="s">
        <v>1702</v>
      </c>
    </row>
    <row r="1732" spans="1:2" x14ac:dyDescent="0.3">
      <c r="A1732" s="5" t="str">
        <f>HYPERLINK("http://www.eatonpowersource.com/products/configure/screw-in%20cartridge%20valves/details/566265","566265")</f>
        <v>566265</v>
      </c>
      <c r="B1732" s="6" t="s">
        <v>1703</v>
      </c>
    </row>
    <row r="1733" spans="1:2" x14ac:dyDescent="0.3">
      <c r="A1733" s="7" t="str">
        <f>HYPERLINK("http://www.eatonpowersource.com/products/configure/screw-in%20cartridge%20valves/details/566274","566274")</f>
        <v>566274</v>
      </c>
      <c r="B1733" s="8" t="s">
        <v>1704</v>
      </c>
    </row>
    <row r="1734" spans="1:2" x14ac:dyDescent="0.3">
      <c r="A1734" s="5" t="str">
        <f>HYPERLINK("http://www.eatonpowersource.com/products/configure/screw-in%20cartridge%20valves/details/566310","566310")</f>
        <v>566310</v>
      </c>
      <c r="B1734" s="6" t="s">
        <v>1705</v>
      </c>
    </row>
    <row r="1735" spans="1:2" x14ac:dyDescent="0.3">
      <c r="A1735" s="7" t="str">
        <f>HYPERLINK("http://www.eatonpowersource.com/products/configure/screw-in%20cartridge%20valves/details/566335","566335")</f>
        <v>566335</v>
      </c>
      <c r="B1735" s="8" t="s">
        <v>1706</v>
      </c>
    </row>
    <row r="1736" spans="1:2" x14ac:dyDescent="0.3">
      <c r="A1736" s="5" t="str">
        <f>HYPERLINK("http://www.eatonpowersource.com/products/configure/screw-in%20cartridge%20valves/details/566353","566353")</f>
        <v>566353</v>
      </c>
      <c r="B1736" s="6" t="s">
        <v>1707</v>
      </c>
    </row>
    <row r="1737" spans="1:2" x14ac:dyDescent="0.3">
      <c r="A1737" s="7" t="str">
        <f>HYPERLINK("http://www.eatonpowersource.com/products/configure/screw-in%20cartridge%20valves/details/566354","566354")</f>
        <v>566354</v>
      </c>
      <c r="B1737" s="8" t="s">
        <v>1708</v>
      </c>
    </row>
    <row r="1738" spans="1:2" x14ac:dyDescent="0.3">
      <c r="A1738" s="5" t="str">
        <f>HYPERLINK("http://www.eatonpowersource.com/products/configure/screw-in%20cartridge%20valves/details/566399","566399")</f>
        <v>566399</v>
      </c>
      <c r="B1738" s="6" t="s">
        <v>1709</v>
      </c>
    </row>
    <row r="1739" spans="1:2" x14ac:dyDescent="0.3">
      <c r="A1739" s="7" t="str">
        <f>HYPERLINK("http://www.eatonpowersource.com/products/configure/screw-in%20cartridge%20valves/details/566400","566400")</f>
        <v>566400</v>
      </c>
      <c r="B1739" s="8" t="s">
        <v>1710</v>
      </c>
    </row>
    <row r="1740" spans="1:2" x14ac:dyDescent="0.3">
      <c r="A1740" s="5" t="str">
        <f>HYPERLINK("http://www.eatonpowersource.com/products/configure/screw-in%20cartridge%20valves/details/566510","566510")</f>
        <v>566510</v>
      </c>
      <c r="B1740" s="6" t="s">
        <v>1711</v>
      </c>
    </row>
    <row r="1741" spans="1:2" x14ac:dyDescent="0.3">
      <c r="A1741" s="7" t="str">
        <f>HYPERLINK("http://www.eatonpowersource.com/products/configure/screw-in%20cartridge%20valves/details/566511","566511")</f>
        <v>566511</v>
      </c>
      <c r="B1741" s="8" t="s">
        <v>1712</v>
      </c>
    </row>
    <row r="1742" spans="1:2" x14ac:dyDescent="0.3">
      <c r="A1742" s="5" t="str">
        <f>HYPERLINK("http://www.eatonpowersource.com/products/configure/screw-in%20cartridge%20valves/details/566614","566614")</f>
        <v>566614</v>
      </c>
      <c r="B1742" s="6" t="s">
        <v>1713</v>
      </c>
    </row>
    <row r="1743" spans="1:2" x14ac:dyDescent="0.3">
      <c r="A1743" s="7" t="str">
        <f>HYPERLINK("http://www.eatonpowersource.com/products/configure/screw-in%20cartridge%20valves/details/566655","566655")</f>
        <v>566655</v>
      </c>
      <c r="B1743" s="8" t="s">
        <v>1714</v>
      </c>
    </row>
    <row r="1744" spans="1:2" x14ac:dyDescent="0.3">
      <c r="A1744" s="5" t="str">
        <f>HYPERLINK("http://www.eatonpowersource.com/products/configure/screw-in%20cartridge%20valves/details/566695","566695")</f>
        <v>566695</v>
      </c>
      <c r="B1744" s="6" t="s">
        <v>1715</v>
      </c>
    </row>
    <row r="1745" spans="1:2" x14ac:dyDescent="0.3">
      <c r="A1745" s="7" t="str">
        <f>HYPERLINK("http://www.eatonpowersource.com/products/configure/screw-in%20cartridge%20valves/details/566696","566696")</f>
        <v>566696</v>
      </c>
      <c r="B1745" s="8" t="s">
        <v>1716</v>
      </c>
    </row>
    <row r="1746" spans="1:2" x14ac:dyDescent="0.3">
      <c r="A1746" s="5" t="str">
        <f>HYPERLINK("http://www.eatonpowersource.com/products/configure/screw-in%20cartridge%20valves/details/889386","889386")</f>
        <v>889386</v>
      </c>
      <c r="B1746" s="6" t="s">
        <v>1717</v>
      </c>
    </row>
    <row r="1747" spans="1:2" x14ac:dyDescent="0.3">
      <c r="A1747" s="7" t="str">
        <f>HYPERLINK("http://www.eatonpowersource.com/products/configure/screw-in%20cartridge%20valves/details/889388","889388")</f>
        <v>889388</v>
      </c>
      <c r="B1747" s="8" t="s">
        <v>1718</v>
      </c>
    </row>
    <row r="1748" spans="1:2" x14ac:dyDescent="0.3">
      <c r="A1748" s="5" t="str">
        <f>HYPERLINK("http://www.eatonpowersource.com/products/configure/screw-in%20cartridge%20valves/details/889496","889496")</f>
        <v>889496</v>
      </c>
      <c r="B1748" s="6" t="s">
        <v>1719</v>
      </c>
    </row>
    <row r="1749" spans="1:2" x14ac:dyDescent="0.3">
      <c r="A1749" s="7" t="str">
        <f>HYPERLINK("http://www.eatonpowersource.com/products/configure/screw-in%20cartridge%20valves/details/889497","889497")</f>
        <v>889497</v>
      </c>
      <c r="B1749" s="8" t="s">
        <v>1720</v>
      </c>
    </row>
    <row r="1750" spans="1:2" x14ac:dyDescent="0.3">
      <c r="A1750" s="5" t="str">
        <f>HYPERLINK("http://www.eatonpowersource.com/products/configure/screw-in%20cartridge%20valves/details/889498","889498")</f>
        <v>889498</v>
      </c>
      <c r="B1750" s="6" t="s">
        <v>1721</v>
      </c>
    </row>
    <row r="1751" spans="1:2" x14ac:dyDescent="0.3">
      <c r="A1751" s="7" t="str">
        <f>HYPERLINK("http://www.eatonpowersource.com/products/configure/screw-in%20cartridge%20valves/details/889499","889499")</f>
        <v>889499</v>
      </c>
      <c r="B1751" s="8" t="s">
        <v>1722</v>
      </c>
    </row>
    <row r="1752" spans="1:2" x14ac:dyDescent="0.3">
      <c r="A1752" s="5" t="str">
        <f>HYPERLINK("http://www.eatonpowersource.com/products/configure/screw-in%20cartridge%20valves/details/889502","889502")</f>
        <v>889502</v>
      </c>
      <c r="B1752" s="6" t="s">
        <v>1723</v>
      </c>
    </row>
    <row r="1753" spans="1:2" x14ac:dyDescent="0.3">
      <c r="A1753" s="7" t="str">
        <f>HYPERLINK("http://www.eatonpowersource.com/products/configure/screw-in%20cartridge%20valves/details/402aa00020a","402AA00020A")</f>
        <v>402AA00020A</v>
      </c>
      <c r="B1753" s="8" t="s">
        <v>1724</v>
      </c>
    </row>
    <row r="1754" spans="1:2" x14ac:dyDescent="0.3">
      <c r="A1754" s="5" t="str">
        <f>HYPERLINK("http://www.eatonpowersource.com/products/configure/screw-in%20cartridge%20valves/details/402aa00047a","402AA00047A")</f>
        <v>402AA00047A</v>
      </c>
      <c r="B1754" s="6" t="s">
        <v>1725</v>
      </c>
    </row>
    <row r="1755" spans="1:2" x14ac:dyDescent="0.3">
      <c r="A1755" s="7" t="str">
        <f>HYPERLINK("http://www.eatonpowersource.com/products/configure/screw-in%20cartridge%20valves/details/402aa00048a","402AA00048A")</f>
        <v>402AA00048A</v>
      </c>
      <c r="B1755" s="8" t="s">
        <v>1726</v>
      </c>
    </row>
    <row r="1756" spans="1:2" x14ac:dyDescent="0.3">
      <c r="A1756" s="5" t="str">
        <f>HYPERLINK("http://www.eatonpowersource.com/products/configure/screw-in%20cartridge%20valves/details/402aa00049a","402AA00049A")</f>
        <v>402AA00049A</v>
      </c>
      <c r="B1756" s="6" t="s">
        <v>1727</v>
      </c>
    </row>
    <row r="1757" spans="1:2" x14ac:dyDescent="0.3">
      <c r="A1757" s="7" t="str">
        <f>HYPERLINK("http://www.eatonpowersource.com/products/configure/screw-in%20cartridge%20valves/details/402aa00314a","402AA00314A")</f>
        <v>402AA00314A</v>
      </c>
      <c r="B1757" s="8" t="s">
        <v>1728</v>
      </c>
    </row>
    <row r="1758" spans="1:2" x14ac:dyDescent="0.3">
      <c r="A1758" s="5" t="str">
        <f>HYPERLINK("http://www.eatonpowersource.com/products/configure/screw-in%20cartridge%20valves/details/02-112920","02-112920")</f>
        <v>02-112920</v>
      </c>
      <c r="B1758" s="6" t="s">
        <v>1729</v>
      </c>
    </row>
    <row r="1759" spans="1:2" x14ac:dyDescent="0.3">
      <c r="A1759" s="7" t="str">
        <f>HYPERLINK("http://www.eatonpowersource.com/products/configure/screw-in%20cartridge%20valves/details/02-199377","02-199377")</f>
        <v>02-199377</v>
      </c>
      <c r="B1759" s="8" t="s">
        <v>1730</v>
      </c>
    </row>
    <row r="1760" spans="1:2" x14ac:dyDescent="0.3">
      <c r="A1760" s="5" t="str">
        <f>HYPERLINK("http://www.eatonpowersource.com/products/configure/screw-in%20cartridge%20valves/details/02-200496","02-200496")</f>
        <v>02-200496</v>
      </c>
      <c r="B1760" s="6" t="s">
        <v>1731</v>
      </c>
    </row>
    <row r="1761" spans="1:2" x14ac:dyDescent="0.3">
      <c r="A1761" s="7" t="str">
        <f>HYPERLINK("http://www.eatonpowersource.com/products/configure/screw-in%20cartridge%20valves/details/02-200500","02-200500")</f>
        <v>02-200500</v>
      </c>
      <c r="B1761" s="8" t="s">
        <v>1732</v>
      </c>
    </row>
    <row r="1762" spans="1:2" x14ac:dyDescent="0.3">
      <c r="A1762" s="5" t="str">
        <f>HYPERLINK("http://www.eatonpowersource.com/products/configure/screw-in%20cartridge%20valves/details/02-201038","02-201038")</f>
        <v>02-201038</v>
      </c>
      <c r="B1762" s="6" t="s">
        <v>1733</v>
      </c>
    </row>
    <row r="1763" spans="1:2" x14ac:dyDescent="0.3">
      <c r="A1763" s="7" t="str">
        <f>HYPERLINK("http://www.eatonpowersource.com/products/configure/screw-in%20cartridge%20valves/details/304aa00037a","304AA00037A")</f>
        <v>304AA00037A</v>
      </c>
      <c r="B1763" s="8" t="s">
        <v>1734</v>
      </c>
    </row>
    <row r="1764" spans="1:2" x14ac:dyDescent="0.3">
      <c r="A1764" s="5" t="str">
        <f>HYPERLINK("http://www.eatonpowersource.com/products/configure/screw-in%20cartridge%20valves/details/304aa00045a","304AA00045A")</f>
        <v>304AA00045A</v>
      </c>
      <c r="B1764" s="6" t="s">
        <v>1735</v>
      </c>
    </row>
    <row r="1765" spans="1:2" x14ac:dyDescent="0.3">
      <c r="A1765" s="7" t="str">
        <f>HYPERLINK("http://www.eatonpowersource.com/products/configure/screw-in%20cartridge%20valves/details/304aa00046a","304AA00046A")</f>
        <v>304AA00046A</v>
      </c>
      <c r="B1765" s="8" t="s">
        <v>1736</v>
      </c>
    </row>
    <row r="1766" spans="1:2" x14ac:dyDescent="0.3">
      <c r="A1766" s="5" t="str">
        <f>HYPERLINK("http://www.eatonpowersource.com/products/configure/screw-in%20cartridge%20valves/details/304aa00054a","304AA00054A")</f>
        <v>304AA00054A</v>
      </c>
      <c r="B1766" s="6" t="s">
        <v>1737</v>
      </c>
    </row>
    <row r="1767" spans="1:2" x14ac:dyDescent="0.3">
      <c r="A1767" s="7" t="str">
        <f>HYPERLINK("http://www.eatonpowersource.com/products/configure/screw-in%20cartridge%20valves/details/304aa00061a","304AA00061A")</f>
        <v>304AA00061A</v>
      </c>
      <c r="B1767" s="8" t="s">
        <v>1738</v>
      </c>
    </row>
    <row r="1768" spans="1:2" x14ac:dyDescent="0.3">
      <c r="A1768" s="5" t="str">
        <f>HYPERLINK("http://www.eatonpowersource.com/products/configure/screw-in%20cartridge%20valves/details/304aa00062a","304AA00062A")</f>
        <v>304AA00062A</v>
      </c>
      <c r="B1768" s="6" t="s">
        <v>1739</v>
      </c>
    </row>
    <row r="1769" spans="1:2" x14ac:dyDescent="0.3">
      <c r="A1769" s="7" t="str">
        <f>HYPERLINK("http://www.eatonpowersource.com/products/configure/screw-in%20cartridge%20valves/details/304aa00079a","304AA00079A")</f>
        <v>304AA00079A</v>
      </c>
      <c r="B1769" s="8" t="s">
        <v>1740</v>
      </c>
    </row>
    <row r="1770" spans="1:2" x14ac:dyDescent="0.3">
      <c r="A1770" s="5" t="str">
        <f>HYPERLINK("http://www.eatonpowersource.com/products/configure/screw-in%20cartridge%20valves/details/304aa00097a","304AA00097A")</f>
        <v>304AA00097A</v>
      </c>
      <c r="B1770" s="6" t="s">
        <v>1741</v>
      </c>
    </row>
    <row r="1771" spans="1:2" x14ac:dyDescent="0.3">
      <c r="A1771" s="7" t="str">
        <f>HYPERLINK("http://www.eatonpowersource.com/products/configure/screw-in%20cartridge%20valves/details/304aa00116a","304AA00116A")</f>
        <v>304AA00116A</v>
      </c>
      <c r="B1771" s="8" t="s">
        <v>1742</v>
      </c>
    </row>
    <row r="1772" spans="1:2" x14ac:dyDescent="0.3">
      <c r="A1772" s="5" t="str">
        <f>HYPERLINK("http://www.eatonpowersource.com/products/configure/screw-in%20cartridge%20valves/details/304aa00131a","304AA00131A")</f>
        <v>304AA00131A</v>
      </c>
      <c r="B1772" s="6" t="s">
        <v>1743</v>
      </c>
    </row>
    <row r="1773" spans="1:2" x14ac:dyDescent="0.3">
      <c r="A1773" s="7" t="str">
        <f>HYPERLINK("http://www.eatonpowersource.com/products/configure/screw-in%20cartridge%20valves/details/304aa00155a","304AA00155A")</f>
        <v>304AA00155A</v>
      </c>
      <c r="B1773" s="8" t="s">
        <v>1744</v>
      </c>
    </row>
    <row r="1774" spans="1:2" x14ac:dyDescent="0.3">
      <c r="A1774" s="5" t="str">
        <f>HYPERLINK("http://www.eatonpowersource.com/products/configure/screw-in%20cartridge%20valves/details/304aa00168a","304AA00168A")</f>
        <v>304AA00168A</v>
      </c>
      <c r="B1774" s="6" t="s">
        <v>1745</v>
      </c>
    </row>
    <row r="1775" spans="1:2" x14ac:dyDescent="0.3">
      <c r="A1775" s="7" t="str">
        <f>HYPERLINK("http://www.eatonpowersource.com/products/configure/screw-in%20cartridge%20valves/details/304aa00211a","304AA00211A")</f>
        <v>304AA00211A</v>
      </c>
      <c r="B1775" s="8" t="s">
        <v>1746</v>
      </c>
    </row>
    <row r="1776" spans="1:2" x14ac:dyDescent="0.3">
      <c r="A1776" s="5" t="str">
        <f>HYPERLINK("http://www.eatonpowersource.com/products/configure/screw-in%20cartridge%20valves/details/402aa00061a","402AA00061A")</f>
        <v>402AA00061A</v>
      </c>
      <c r="B1776" s="6" t="s">
        <v>1747</v>
      </c>
    </row>
    <row r="1777" spans="1:2" x14ac:dyDescent="0.3">
      <c r="A1777" s="7" t="str">
        <f>HYPERLINK("http://www.eatonpowersource.com/products/configure/screw-in%20cartridge%20valves/details/02-112859","02-112859")</f>
        <v>02-112859</v>
      </c>
      <c r="B1777" s="8" t="s">
        <v>1748</v>
      </c>
    </row>
    <row r="1778" spans="1:2" x14ac:dyDescent="0.3">
      <c r="A1778" s="5" t="str">
        <f>HYPERLINK("http://www.eatonpowersource.com/products/configure/screw-in%20cartridge%20valves/details/02-112886","02-112886")</f>
        <v>02-112886</v>
      </c>
      <c r="B1778" s="6" t="s">
        <v>1749</v>
      </c>
    </row>
    <row r="1779" spans="1:2" x14ac:dyDescent="0.3">
      <c r="A1779" s="7" t="str">
        <f>HYPERLINK("http://www.eatonpowersource.com/products/configure/screw-in%20cartridge%20valves/details/02-160664","02-160664")</f>
        <v>02-160664</v>
      </c>
      <c r="B1779" s="8" t="s">
        <v>1750</v>
      </c>
    </row>
    <row r="1780" spans="1:2" x14ac:dyDescent="0.3">
      <c r="A1780" s="5" t="str">
        <f>HYPERLINK("http://www.eatonpowersource.com/products/configure/screw-in%20cartridge%20valves/details/02-169109","02-169109")</f>
        <v>02-169109</v>
      </c>
      <c r="B1780" s="6" t="s">
        <v>1751</v>
      </c>
    </row>
    <row r="1781" spans="1:2" x14ac:dyDescent="0.3">
      <c r="A1781" s="7" t="str">
        <f>HYPERLINK("http://www.eatonpowersource.com/products/configure/screw-in%20cartridge%20valves/details/02-169434","02-169434")</f>
        <v>02-169434</v>
      </c>
      <c r="B1781" s="8" t="s">
        <v>1752</v>
      </c>
    </row>
    <row r="1782" spans="1:2" x14ac:dyDescent="0.3">
      <c r="A1782" s="5" t="str">
        <f>HYPERLINK("http://www.eatonpowersource.com/products/configure/screw-in%20cartridge%20valves/details/02-169442","02-169442")</f>
        <v>02-169442</v>
      </c>
      <c r="B1782" s="6" t="s">
        <v>1753</v>
      </c>
    </row>
    <row r="1783" spans="1:2" x14ac:dyDescent="0.3">
      <c r="A1783" s="7" t="str">
        <f>HYPERLINK("http://www.eatonpowersource.com/products/configure/screw-in%20cartridge%20valves/details/02-182105","02-182105")</f>
        <v>02-182105</v>
      </c>
      <c r="B1783" s="8" t="s">
        <v>1754</v>
      </c>
    </row>
    <row r="1784" spans="1:2" x14ac:dyDescent="0.3">
      <c r="A1784" s="5" t="str">
        <f>HYPERLINK("http://www.eatonpowersource.com/products/configure/screw-in%20cartridge%20valves/details/02-185873","02-185873")</f>
        <v>02-185873</v>
      </c>
      <c r="B1784" s="6" t="s">
        <v>1755</v>
      </c>
    </row>
    <row r="1785" spans="1:2" x14ac:dyDescent="0.3">
      <c r="A1785" s="7" t="str">
        <f>HYPERLINK("http://www.eatonpowersource.com/products/configure/screw-in%20cartridge%20valves/details/02-198766","02-198766")</f>
        <v>02-198766</v>
      </c>
      <c r="B1785" s="8" t="s">
        <v>1756</v>
      </c>
    </row>
    <row r="1786" spans="1:2" x14ac:dyDescent="0.3">
      <c r="A1786" s="5" t="str">
        <f>HYPERLINK("http://www.eatonpowersource.com/products/configure/screw-in%20cartridge%20valves/details/02-198896","02-198896")</f>
        <v>02-198896</v>
      </c>
      <c r="B1786" s="6" t="s">
        <v>1757</v>
      </c>
    </row>
    <row r="1787" spans="1:2" x14ac:dyDescent="0.3">
      <c r="A1787" s="7" t="str">
        <f>HYPERLINK("http://www.eatonpowersource.com/products/configure/screw-in%20cartridge%20valves/details/02-199397","02-199397")</f>
        <v>02-199397</v>
      </c>
      <c r="B1787" s="8" t="s">
        <v>1758</v>
      </c>
    </row>
    <row r="1788" spans="1:2" x14ac:dyDescent="0.3">
      <c r="A1788" s="5" t="str">
        <f>HYPERLINK("http://www.eatonpowersource.com/products/configure/screw-in%20cartridge%20valves/details/02-199418","02-199418")</f>
        <v>02-199418</v>
      </c>
      <c r="B1788" s="6" t="s">
        <v>1759</v>
      </c>
    </row>
    <row r="1789" spans="1:2" x14ac:dyDescent="0.3">
      <c r="A1789" s="7" t="str">
        <f>HYPERLINK("http://www.eatonpowersource.com/products/configure/screw-in%20cartridge%20valves/details/02-199419","02-199419")</f>
        <v>02-199419</v>
      </c>
      <c r="B1789" s="8" t="s">
        <v>1760</v>
      </c>
    </row>
    <row r="1790" spans="1:2" x14ac:dyDescent="0.3">
      <c r="A1790" s="5" t="str">
        <f>HYPERLINK("http://www.eatonpowersource.com/products/configure/screw-in%20cartridge%20valves/details/02-199424","02-199424")</f>
        <v>02-199424</v>
      </c>
      <c r="B1790" s="6" t="s">
        <v>1761</v>
      </c>
    </row>
    <row r="1791" spans="1:2" x14ac:dyDescent="0.3">
      <c r="A1791" s="7" t="str">
        <f>HYPERLINK("http://www.eatonpowersource.com/products/configure/screw-in%20cartridge%20valves/details/02-200588","02-200588")</f>
        <v>02-200588</v>
      </c>
      <c r="B1791" s="8" t="s">
        <v>1762</v>
      </c>
    </row>
    <row r="1792" spans="1:2" x14ac:dyDescent="0.3">
      <c r="A1792" s="5" t="str">
        <f>HYPERLINK("http://www.eatonpowersource.com/products/configure/screw-in%20cartridge%20valves/details/02-200590","02-200590")</f>
        <v>02-200590</v>
      </c>
      <c r="B1792" s="6" t="s">
        <v>1763</v>
      </c>
    </row>
    <row r="1793" spans="1:2" x14ac:dyDescent="0.3">
      <c r="A1793" s="7" t="str">
        <f>HYPERLINK("http://www.eatonpowersource.com/products/configure/screw-in%20cartridge%20valves/details/02-200704","02-200704")</f>
        <v>02-200704</v>
      </c>
      <c r="B1793" s="8" t="s">
        <v>1764</v>
      </c>
    </row>
    <row r="1794" spans="1:2" x14ac:dyDescent="0.3">
      <c r="A1794" s="5" t="str">
        <f>HYPERLINK("http://www.eatonpowersource.com/products/configure/screw-in%20cartridge%20valves/details/02-200725","02-200725")</f>
        <v>02-200725</v>
      </c>
      <c r="B1794" s="6" t="s">
        <v>1765</v>
      </c>
    </row>
    <row r="1795" spans="1:2" x14ac:dyDescent="0.3">
      <c r="A1795" s="7" t="str">
        <f>HYPERLINK("http://www.eatonpowersource.com/products/configure/screw-in%20cartridge%20valves/details/02-200739","02-200739")</f>
        <v>02-200739</v>
      </c>
      <c r="B1795" s="8" t="s">
        <v>1766</v>
      </c>
    </row>
    <row r="1796" spans="1:2" x14ac:dyDescent="0.3">
      <c r="A1796" s="5" t="str">
        <f>HYPERLINK("http://www.eatonpowersource.com/products/configure/screw-in%20cartridge%20valves/details/02-200981","02-200981")</f>
        <v>02-200981</v>
      </c>
      <c r="B1796" s="6" t="s">
        <v>1767</v>
      </c>
    </row>
    <row r="1797" spans="1:2" x14ac:dyDescent="0.3">
      <c r="A1797" s="7" t="str">
        <f>HYPERLINK("http://www.eatonpowersource.com/products/configure/screw-in%20cartridge%20valves/details/02-309600","02-309600")</f>
        <v>02-309600</v>
      </c>
      <c r="B1797" s="8" t="s">
        <v>1768</v>
      </c>
    </row>
    <row r="1798" spans="1:2" x14ac:dyDescent="0.3">
      <c r="A1798" s="5" t="str">
        <f>HYPERLINK("http://www.eatonpowersource.com/products/configure/screw-in%20cartridge%20valves/details/02-316242","02-316242")</f>
        <v>02-316242</v>
      </c>
      <c r="B1798" s="6" t="s">
        <v>1769</v>
      </c>
    </row>
    <row r="1799" spans="1:2" x14ac:dyDescent="0.3">
      <c r="A1799" s="7" t="str">
        <f>HYPERLINK("http://www.eatonpowersource.com/products/configure/screw-in%20cartridge%20valves/details/02-325131","02-325131")</f>
        <v>02-325131</v>
      </c>
      <c r="B1799" s="8" t="s">
        <v>1770</v>
      </c>
    </row>
    <row r="1800" spans="1:2" x14ac:dyDescent="0.3">
      <c r="A1800" s="5" t="str">
        <f>HYPERLINK("http://www.eatonpowersource.com/products/configure/screw-in%20cartridge%20valves/details/02-325737","02-325737")</f>
        <v>02-325737</v>
      </c>
      <c r="B1800" s="6" t="s">
        <v>1771</v>
      </c>
    </row>
    <row r="1801" spans="1:2" x14ac:dyDescent="0.3">
      <c r="A1801" s="7" t="str">
        <f>HYPERLINK("http://www.eatonpowersource.com/products/configure/screw-in%20cartridge%20valves/details/02-329705","02-329705")</f>
        <v>02-329705</v>
      </c>
      <c r="B1801" s="8" t="s">
        <v>1772</v>
      </c>
    </row>
    <row r="1802" spans="1:2" x14ac:dyDescent="0.3">
      <c r="A1802" s="5" t="str">
        <f>HYPERLINK("http://www.eatonpowersource.com/products/configure/screw-in%20cartridge%20valves/details/02-355005","02-355005")</f>
        <v>02-355005</v>
      </c>
      <c r="B1802" s="6" t="s">
        <v>1773</v>
      </c>
    </row>
    <row r="1803" spans="1:2" x14ac:dyDescent="0.3">
      <c r="A1803" s="7" t="str">
        <f>HYPERLINK("http://www.eatonpowersource.com/products/configure/screw-in%20cartridge%20valves/details/02-355006","02-355006")</f>
        <v>02-355006</v>
      </c>
      <c r="B1803" s="8" t="s">
        <v>1774</v>
      </c>
    </row>
    <row r="1804" spans="1:2" x14ac:dyDescent="0.3">
      <c r="A1804" s="5" t="str">
        <f>HYPERLINK("http://www.eatonpowersource.com/products/configure/screw-in%20cartridge%20valves/details/02-355011","02-355011")</f>
        <v>02-355011</v>
      </c>
      <c r="B1804" s="6" t="s">
        <v>1775</v>
      </c>
    </row>
    <row r="1805" spans="1:2" x14ac:dyDescent="0.3">
      <c r="A1805" s="7" t="str">
        <f>HYPERLINK("http://www.eatonpowersource.com/products/configure/screw-in%20cartridge%20valves/details/02-355037","02-355037")</f>
        <v>02-355037</v>
      </c>
      <c r="B1805" s="8" t="s">
        <v>1776</v>
      </c>
    </row>
    <row r="1806" spans="1:2" x14ac:dyDescent="0.3">
      <c r="A1806" s="5" t="str">
        <f>HYPERLINK("http://www.eatonpowersource.com/products/configure/screw-in%20cartridge%20valves/details/02-355043","02-355043")</f>
        <v>02-355043</v>
      </c>
      <c r="B1806" s="6" t="s">
        <v>1777</v>
      </c>
    </row>
    <row r="1807" spans="1:2" x14ac:dyDescent="0.3">
      <c r="A1807" s="7" t="str">
        <f>HYPERLINK("http://www.eatonpowersource.com/products/configure/screw-in%20cartridge%20valves/details/02-355044","02-355044")</f>
        <v>02-355044</v>
      </c>
      <c r="B1807" s="8" t="s">
        <v>1778</v>
      </c>
    </row>
    <row r="1808" spans="1:2" x14ac:dyDescent="0.3">
      <c r="A1808" s="5" t="str">
        <f>HYPERLINK("http://www.eatonpowersource.com/products/configure/screw-in%20cartridge%20valves/details/02-355045","02-355045")</f>
        <v>02-355045</v>
      </c>
      <c r="B1808" s="6" t="s">
        <v>1779</v>
      </c>
    </row>
    <row r="1809" spans="1:2" x14ac:dyDescent="0.3">
      <c r="A1809" s="7" t="str">
        <f>HYPERLINK("http://www.eatonpowersource.com/products/configure/screw-in%20cartridge%20valves/details/02-355069","02-355069")</f>
        <v>02-355069</v>
      </c>
      <c r="B1809" s="8" t="s">
        <v>1780</v>
      </c>
    </row>
    <row r="1810" spans="1:2" x14ac:dyDescent="0.3">
      <c r="A1810" s="5" t="str">
        <f>HYPERLINK("http://www.eatonpowersource.com/products/configure/screw-in%20cartridge%20valves/details/02-355074","02-355074")</f>
        <v>02-355074</v>
      </c>
      <c r="B1810" s="6" t="s">
        <v>1781</v>
      </c>
    </row>
    <row r="1811" spans="1:2" x14ac:dyDescent="0.3">
      <c r="A1811" s="7" t="str">
        <f>HYPERLINK("http://www.eatonpowersource.com/products/configure/screw-in%20cartridge%20valves/details/02-355080","02-355080")</f>
        <v>02-355080</v>
      </c>
      <c r="B1811" s="8" t="s">
        <v>1782</v>
      </c>
    </row>
    <row r="1812" spans="1:2" x14ac:dyDescent="0.3">
      <c r="A1812" s="5" t="str">
        <f>HYPERLINK("http://www.eatonpowersource.com/products/configure/screw-in%20cartridge%20valves/details/02-355083","02-355083")</f>
        <v>02-355083</v>
      </c>
      <c r="B1812" s="6" t="s">
        <v>1783</v>
      </c>
    </row>
    <row r="1813" spans="1:2" x14ac:dyDescent="0.3">
      <c r="A1813" s="7" t="str">
        <f>HYPERLINK("http://www.eatonpowersource.com/products/configure/screw-in%20cartridge%20valves/details/02-355084","02-355084")</f>
        <v>02-355084</v>
      </c>
      <c r="B1813" s="8" t="s">
        <v>1784</v>
      </c>
    </row>
    <row r="1814" spans="1:2" x14ac:dyDescent="0.3">
      <c r="A1814" s="5" t="str">
        <f>HYPERLINK("http://www.eatonpowersource.com/products/configure/screw-in%20cartridge%20valves/details/02-355109","02-355109")</f>
        <v>02-355109</v>
      </c>
      <c r="B1814" s="6" t="s">
        <v>1785</v>
      </c>
    </row>
    <row r="1815" spans="1:2" x14ac:dyDescent="0.3">
      <c r="A1815" s="7" t="str">
        <f>HYPERLINK("http://www.eatonpowersource.com/products/configure/screw-in%20cartridge%20valves/details/02-355117","02-355117")</f>
        <v>02-355117</v>
      </c>
      <c r="B1815" s="8" t="s">
        <v>1786</v>
      </c>
    </row>
    <row r="1816" spans="1:2" x14ac:dyDescent="0.3">
      <c r="A1816" s="5" t="str">
        <f>HYPERLINK("http://www.eatonpowersource.com/products/configure/screw-in%20cartridge%20valves/details/02-355122","02-355122")</f>
        <v>02-355122</v>
      </c>
      <c r="B1816" s="6" t="s">
        <v>1787</v>
      </c>
    </row>
    <row r="1817" spans="1:2" x14ac:dyDescent="0.3">
      <c r="A1817" s="7" t="str">
        <f>HYPERLINK("http://www.eatonpowersource.com/products/configure/screw-in%20cartridge%20valves/details/02-355126","02-355126")</f>
        <v>02-355126</v>
      </c>
      <c r="B1817" s="8" t="s">
        <v>1788</v>
      </c>
    </row>
    <row r="1818" spans="1:2" x14ac:dyDescent="0.3">
      <c r="A1818" s="5" t="str">
        <f>HYPERLINK("http://www.eatonpowersource.com/products/configure/screw-in%20cartridge%20valves/details/02-355128","02-355128")</f>
        <v>02-355128</v>
      </c>
      <c r="B1818" s="6" t="s">
        <v>1789</v>
      </c>
    </row>
    <row r="1819" spans="1:2" x14ac:dyDescent="0.3">
      <c r="A1819" s="7" t="str">
        <f>HYPERLINK("http://www.eatonpowersource.com/products/configure/screw-in%20cartridge%20valves/details/02-355141","02-355141")</f>
        <v>02-355141</v>
      </c>
      <c r="B1819" s="8" t="s">
        <v>1790</v>
      </c>
    </row>
    <row r="1820" spans="1:2" x14ac:dyDescent="0.3">
      <c r="A1820" s="5" t="str">
        <f>HYPERLINK("http://www.eatonpowersource.com/products/configure/screw-in%20cartridge%20valves/details/02-355169","02-355169")</f>
        <v>02-355169</v>
      </c>
      <c r="B1820" s="6" t="s">
        <v>1791</v>
      </c>
    </row>
    <row r="1821" spans="1:2" x14ac:dyDescent="0.3">
      <c r="A1821" s="7" t="str">
        <f>HYPERLINK("http://www.eatonpowersource.com/products/configure/screw-in%20cartridge%20valves/details/02-355180","02-355180")</f>
        <v>02-355180</v>
      </c>
      <c r="B1821" s="8" t="s">
        <v>1792</v>
      </c>
    </row>
    <row r="1822" spans="1:2" x14ac:dyDescent="0.3">
      <c r="A1822" s="5" t="str">
        <f>HYPERLINK("http://www.eatonpowersource.com/products/configure/screw-in%20cartridge%20valves/details/02-355215","02-355215")</f>
        <v>02-355215</v>
      </c>
      <c r="B1822" s="6" t="s">
        <v>1793</v>
      </c>
    </row>
    <row r="1823" spans="1:2" x14ac:dyDescent="0.3">
      <c r="A1823" s="7" t="str">
        <f>HYPERLINK("http://www.eatonpowersource.com/products/configure/screw-in%20cartridge%20valves/details/02-355224","02-355224")</f>
        <v>02-355224</v>
      </c>
      <c r="B1823" s="8" t="s">
        <v>1794</v>
      </c>
    </row>
    <row r="1824" spans="1:2" x14ac:dyDescent="0.3">
      <c r="A1824" s="5" t="str">
        <f>HYPERLINK("http://www.eatonpowersource.com/products/configure/screw-in%20cartridge%20valves/details/02-355228","02-355228")</f>
        <v>02-355228</v>
      </c>
      <c r="B1824" s="6" t="s">
        <v>1795</v>
      </c>
    </row>
    <row r="1825" spans="1:2" x14ac:dyDescent="0.3">
      <c r="A1825" s="7" t="str">
        <f>HYPERLINK("http://www.eatonpowersource.com/products/configure/screw-in%20cartridge%20valves/details/02-361837","02-361837")</f>
        <v>02-361837</v>
      </c>
      <c r="B1825" s="8" t="s">
        <v>1796</v>
      </c>
    </row>
    <row r="1826" spans="1:2" x14ac:dyDescent="0.3">
      <c r="A1826" s="5" t="str">
        <f>HYPERLINK("http://www.eatonpowersource.com/products/configure/screw-in%20cartridge%20valves/details/02-363321","02-363321")</f>
        <v>02-363321</v>
      </c>
      <c r="B1826" s="6" t="s">
        <v>1797</v>
      </c>
    </row>
    <row r="1827" spans="1:2" x14ac:dyDescent="0.3">
      <c r="A1827" s="7" t="str">
        <f>HYPERLINK("http://www.eatonpowersource.com/products/configure/screw-in%20cartridge%20valves/details/02-390616","02-390616")</f>
        <v>02-390616</v>
      </c>
      <c r="B1827" s="8" t="s">
        <v>1798</v>
      </c>
    </row>
    <row r="1828" spans="1:2" x14ac:dyDescent="0.3">
      <c r="A1828" s="5" t="str">
        <f>HYPERLINK("http://www.eatonpowersource.com/products/configure/screw-in%20cartridge%20valves/details/02-391564","02-391564")</f>
        <v>02-391564</v>
      </c>
      <c r="B1828" s="6" t="s">
        <v>1799</v>
      </c>
    </row>
    <row r="1829" spans="1:2" x14ac:dyDescent="0.3">
      <c r="A1829" s="7" t="str">
        <f>HYPERLINK("http://www.eatonpowersource.com/products/configure/screw-in%20cartridge%20valves/details/02-398890","02-398890")</f>
        <v>02-398890</v>
      </c>
      <c r="B1829" s="8" t="s">
        <v>1800</v>
      </c>
    </row>
    <row r="1830" spans="1:2" x14ac:dyDescent="0.3">
      <c r="A1830" s="5" t="str">
        <f>HYPERLINK("http://www.eatonpowersource.com/products/configure/screw-in%20cartridge%20valves/details/02-398896","02-398896")</f>
        <v>02-398896</v>
      </c>
      <c r="B1830" s="6" t="s">
        <v>1801</v>
      </c>
    </row>
    <row r="1831" spans="1:2" x14ac:dyDescent="0.3">
      <c r="A1831" s="7" t="str">
        <f>HYPERLINK("http://www.eatonpowersource.com/products/configure/screw-in%20cartridge%20valves/details/308aa00064a","308AA00064A")</f>
        <v>308AA00064A</v>
      </c>
      <c r="B1831" s="8" t="s">
        <v>1802</v>
      </c>
    </row>
    <row r="1832" spans="1:2" x14ac:dyDescent="0.3">
      <c r="A1832" s="5" t="str">
        <f>HYPERLINK("http://www.eatonpowersource.com/products/configure/screw-in%20cartridge%20valves/details/308aa00125a","308AA00125A")</f>
        <v>308AA00125A</v>
      </c>
      <c r="B1832" s="6" t="s">
        <v>1803</v>
      </c>
    </row>
    <row r="1833" spans="1:2" x14ac:dyDescent="0.3">
      <c r="A1833" s="7" t="str">
        <f>HYPERLINK("http://www.eatonpowersource.com/products/configure/screw-in%20cartridge%20valves/details/308aa00134a","308AA00134A")</f>
        <v>308AA00134A</v>
      </c>
      <c r="B1833" s="8" t="s">
        <v>1804</v>
      </c>
    </row>
    <row r="1834" spans="1:2" x14ac:dyDescent="0.3">
      <c r="A1834" s="5" t="str">
        <f>HYPERLINK("http://www.eatonpowersource.com/products/configure/screw-in%20cartridge%20valves/details/407aa01821a","407AA01821A")</f>
        <v>407AA01821A</v>
      </c>
      <c r="B1834" s="6" t="s">
        <v>1805</v>
      </c>
    </row>
    <row r="1835" spans="1:2" x14ac:dyDescent="0.3">
      <c r="A1835" s="7" t="str">
        <f>HYPERLINK("http://www.eatonpowersource.com/products/configure/screw-in%20cartridge%20valves/details/407aa01827a","407AA01827A")</f>
        <v>407AA01827A</v>
      </c>
      <c r="B1835" s="8" t="s">
        <v>1806</v>
      </c>
    </row>
    <row r="1836" spans="1:2" x14ac:dyDescent="0.3">
      <c r="A1836" s="5" t="str">
        <f>HYPERLINK("http://www.eatonpowersource.com/products/configure/screw-in%20cartridge%20valves/details/408aa00002a","408AA00002A")</f>
        <v>408AA00002A</v>
      </c>
      <c r="B1836" s="6" t="s">
        <v>1807</v>
      </c>
    </row>
    <row r="1837" spans="1:2" x14ac:dyDescent="0.3">
      <c r="A1837" s="7" t="str">
        <f>HYPERLINK("http://www.eatonpowersource.com/products/configure/screw-in%20cartridge%20valves/details/408aa00003a","408AA00003A")</f>
        <v>408AA00003A</v>
      </c>
      <c r="B1837" s="8" t="s">
        <v>1808</v>
      </c>
    </row>
    <row r="1838" spans="1:2" x14ac:dyDescent="0.3">
      <c r="A1838" s="5" t="str">
        <f>HYPERLINK("http://www.eatonpowersource.com/products/configure/screw-in%20cartridge%20valves/details/408aa00007a","408AA00007A")</f>
        <v>408AA00007A</v>
      </c>
      <c r="B1838" s="6" t="s">
        <v>1809</v>
      </c>
    </row>
    <row r="1839" spans="1:2" x14ac:dyDescent="0.3">
      <c r="A1839" s="7" t="str">
        <f>HYPERLINK("http://www.eatonpowersource.com/products/configure/screw-in%20cartridge%20valves/details/408aa00140a","408AA00140A")</f>
        <v>408AA00140A</v>
      </c>
      <c r="B1839" s="8" t="s">
        <v>1810</v>
      </c>
    </row>
    <row r="1840" spans="1:2" x14ac:dyDescent="0.3">
      <c r="A1840" s="5" t="str">
        <f>HYPERLINK("http://www.eatonpowersource.com/products/configure/screw-in%20cartridge%20valves/details/6034440-001","6034440-001")</f>
        <v>6034440-001</v>
      </c>
      <c r="B1840" s="6" t="s">
        <v>1811</v>
      </c>
    </row>
    <row r="1841" spans="1:2" x14ac:dyDescent="0.3">
      <c r="A1841" s="7" t="str">
        <f>HYPERLINK("http://www.eatonpowersource.com/products/configure/screw-in%20cartridge%20valves/details/6034440-002","6034440-002")</f>
        <v>6034440-002</v>
      </c>
      <c r="B1841" s="8" t="s">
        <v>1812</v>
      </c>
    </row>
    <row r="1842" spans="1:2" x14ac:dyDescent="0.3">
      <c r="A1842" s="5" t="str">
        <f>HYPERLINK("http://www.eatonpowersource.com/products/configure/screw-in%20cartridge%20valves/details/02-161321","02-161321")</f>
        <v>02-161321</v>
      </c>
      <c r="B1842" s="6" t="s">
        <v>1813</v>
      </c>
    </row>
    <row r="1843" spans="1:2" x14ac:dyDescent="0.3">
      <c r="A1843" s="7" t="str">
        <f>HYPERLINK("http://www.eatonpowersource.com/products/configure/screw-in%20cartridge%20valves/details/02-161827","02-161827")</f>
        <v>02-161827</v>
      </c>
      <c r="B1843" s="8" t="s">
        <v>1814</v>
      </c>
    </row>
    <row r="1844" spans="1:2" x14ac:dyDescent="0.3">
      <c r="A1844" s="5" t="str">
        <f>HYPERLINK("http://www.eatonpowersource.com/products/configure/screw-in%20cartridge%20valves/details/02-172081","02-172081")</f>
        <v>02-172081</v>
      </c>
      <c r="B1844" s="6" t="s">
        <v>1815</v>
      </c>
    </row>
    <row r="1845" spans="1:2" x14ac:dyDescent="0.3">
      <c r="A1845" s="7" t="str">
        <f>HYPERLINK("http://www.eatonpowersource.com/products/configure/screw-in%20cartridge%20valves/details/02-177802","02-177802")</f>
        <v>02-177802</v>
      </c>
      <c r="B1845" s="8" t="s">
        <v>1816</v>
      </c>
    </row>
    <row r="1846" spans="1:2" x14ac:dyDescent="0.3">
      <c r="A1846" s="5" t="str">
        <f>HYPERLINK("http://www.eatonpowersource.com/products/configure/screw-in%20cartridge%20valves/details/02-200705","02-200705")</f>
        <v>02-200705</v>
      </c>
      <c r="B1846" s="6" t="s">
        <v>1817</v>
      </c>
    </row>
    <row r="1847" spans="1:2" x14ac:dyDescent="0.3">
      <c r="A1847" s="7" t="str">
        <f>HYPERLINK("http://www.eatonpowersource.com/products/configure/screw-in%20cartridge%20valves/details/02-200933","02-200933")</f>
        <v>02-200933</v>
      </c>
      <c r="B1847" s="8" t="s">
        <v>1818</v>
      </c>
    </row>
    <row r="1848" spans="1:2" x14ac:dyDescent="0.3">
      <c r="A1848" s="5" t="str">
        <f>HYPERLINK("http://www.eatonpowersource.com/products/configure/screw-in%20cartridge%20valves/details/02-200935","02-200935")</f>
        <v>02-200935</v>
      </c>
      <c r="B1848" s="6" t="s">
        <v>1819</v>
      </c>
    </row>
    <row r="1849" spans="1:2" x14ac:dyDescent="0.3">
      <c r="A1849" s="7" t="str">
        <f>HYPERLINK("http://www.eatonpowersource.com/products/configure/screw-in%20cartridge%20valves/details/02-201677","02-201677")</f>
        <v>02-201677</v>
      </c>
      <c r="B1849" s="8" t="s">
        <v>1820</v>
      </c>
    </row>
    <row r="1850" spans="1:2" x14ac:dyDescent="0.3">
      <c r="A1850" s="5" t="str">
        <f>HYPERLINK("http://www.eatonpowersource.com/products/configure/screw-in%20cartridge%20valves/details/02-355156","02-355156")</f>
        <v>02-355156</v>
      </c>
      <c r="B1850" s="6" t="s">
        <v>1821</v>
      </c>
    </row>
    <row r="1851" spans="1:2" x14ac:dyDescent="0.3">
      <c r="A1851" s="7" t="str">
        <f>HYPERLINK("http://www.eatonpowersource.com/products/configure/screw-in%20cartridge%20valves/details/308aa00013a","308AA00013A")</f>
        <v>308AA00013A</v>
      </c>
      <c r="B1851" s="8" t="s">
        <v>1822</v>
      </c>
    </row>
    <row r="1852" spans="1:2" x14ac:dyDescent="0.3">
      <c r="A1852" s="5" t="str">
        <f>HYPERLINK("http://www.eatonpowersource.com/products/configure/screw-in%20cartridge%20valves/details/308aa00014a","308AA00014A")</f>
        <v>308AA00014A</v>
      </c>
      <c r="B1852" s="6" t="s">
        <v>1823</v>
      </c>
    </row>
    <row r="1853" spans="1:2" x14ac:dyDescent="0.3">
      <c r="A1853" s="7" t="str">
        <f>HYPERLINK("http://www.eatonpowersource.com/products/configure/screw-in%20cartridge%20valves/details/308aa00015a","308AA00015A")</f>
        <v>308AA00015A</v>
      </c>
      <c r="B1853" s="8" t="s">
        <v>1824</v>
      </c>
    </row>
    <row r="1854" spans="1:2" x14ac:dyDescent="0.3">
      <c r="A1854" s="5" t="str">
        <f>HYPERLINK("http://www.eatonpowersource.com/products/configure/screw-in%20cartridge%20valves/details/308aa00016a","308AA00016A")</f>
        <v>308AA00016A</v>
      </c>
      <c r="B1854" s="6" t="s">
        <v>1825</v>
      </c>
    </row>
    <row r="1855" spans="1:2" x14ac:dyDescent="0.3">
      <c r="A1855" s="7" t="str">
        <f>HYPERLINK("http://www.eatonpowersource.com/products/configure/screw-in%20cartridge%20valves/details/308aa00017a","308AA00017A")</f>
        <v>308AA00017A</v>
      </c>
      <c r="B1855" s="8" t="s">
        <v>1826</v>
      </c>
    </row>
    <row r="1856" spans="1:2" x14ac:dyDescent="0.3">
      <c r="A1856" s="5" t="str">
        <f>HYPERLINK("http://www.eatonpowersource.com/products/configure/screw-in%20cartridge%20valves/details/308aa00018a","308AA00018A")</f>
        <v>308AA00018A</v>
      </c>
      <c r="B1856" s="6" t="s">
        <v>1827</v>
      </c>
    </row>
    <row r="1857" spans="1:2" x14ac:dyDescent="0.3">
      <c r="A1857" s="7" t="str">
        <f>HYPERLINK("http://www.eatonpowersource.com/products/configure/screw-in%20cartridge%20valves/details/308aa00033a","308AA00033A")</f>
        <v>308AA00033A</v>
      </c>
      <c r="B1857" s="8" t="s">
        <v>1828</v>
      </c>
    </row>
    <row r="1858" spans="1:2" x14ac:dyDescent="0.3">
      <c r="A1858" s="5" t="str">
        <f>HYPERLINK("http://www.eatonpowersource.com/products/configure/screw-in%20cartridge%20valves/details/308aa00074a","308AA00074A")</f>
        <v>308AA00074A</v>
      </c>
      <c r="B1858" s="6" t="s">
        <v>1829</v>
      </c>
    </row>
    <row r="1859" spans="1:2" x14ac:dyDescent="0.3">
      <c r="A1859" s="7" t="str">
        <f>HYPERLINK("http://www.eatonpowersource.com/products/configure/screw-in%20cartridge%20valves/details/308aa00664a","308AA00664A")</f>
        <v>308AA00664A</v>
      </c>
      <c r="B1859" s="8" t="s">
        <v>1830</v>
      </c>
    </row>
    <row r="1860" spans="1:2" x14ac:dyDescent="0.3">
      <c r="A1860" s="5" t="str">
        <f>HYPERLINK("http://www.eatonpowersource.com/products/configure/screw-in%20cartridge%20valves/details/308aa00668a","308AA00668A")</f>
        <v>308AA00668A</v>
      </c>
      <c r="B1860" s="6" t="s">
        <v>1831</v>
      </c>
    </row>
    <row r="1861" spans="1:2" x14ac:dyDescent="0.3">
      <c r="A1861" s="7" t="str">
        <f>HYPERLINK("http://www.eatonpowersource.com/products/configure/screw-in%20cartridge%20valves/details/308aa00669a","308AA00669A")</f>
        <v>308AA00669A</v>
      </c>
      <c r="B1861" s="8" t="s">
        <v>1832</v>
      </c>
    </row>
    <row r="1862" spans="1:2" x14ac:dyDescent="0.3">
      <c r="A1862" s="5" t="str">
        <f>HYPERLINK("http://www.eatonpowersource.com/products/configure/screw-in%20cartridge%20valves/details/407aa01814a","407AA01814A")</f>
        <v>407AA01814A</v>
      </c>
      <c r="B1862" s="6" t="s">
        <v>1833</v>
      </c>
    </row>
    <row r="1863" spans="1:2" x14ac:dyDescent="0.3">
      <c r="A1863" s="7" t="str">
        <f>HYPERLINK("http://www.eatonpowersource.com/products/configure/screw-in%20cartridge%20valves/details/408aa00001a","408AA00001A")</f>
        <v>408AA00001A</v>
      </c>
      <c r="B1863" s="8" t="s">
        <v>1834</v>
      </c>
    </row>
    <row r="1864" spans="1:2" x14ac:dyDescent="0.3">
      <c r="A1864" s="5" t="str">
        <f>HYPERLINK("http://www.eatonpowersource.com/products/configure/screw-in%20cartridge%20valves/details/408aa00027a","408AA00027A")</f>
        <v>408AA00027A</v>
      </c>
      <c r="B1864" s="6" t="s">
        <v>1835</v>
      </c>
    </row>
    <row r="1865" spans="1:2" x14ac:dyDescent="0.3">
      <c r="A1865" s="7" t="str">
        <f>HYPERLINK("http://www.eatonpowersource.com/products/configure/screw-in%20cartridge%20valves/details/408aa00115a","408AA00115A")</f>
        <v>408AA00115A</v>
      </c>
      <c r="B1865" s="8" t="s">
        <v>1836</v>
      </c>
    </row>
    <row r="1866" spans="1:2" x14ac:dyDescent="0.3">
      <c r="A1866" s="5" t="str">
        <f>HYPERLINK("http://www.eatonpowersource.com/products/configure/screw-in%20cartridge%20valves/details/efv3-29100-001","EFV3-29100-001")</f>
        <v>EFV3-29100-001</v>
      </c>
      <c r="B1866" s="6" t="s">
        <v>1837</v>
      </c>
    </row>
    <row r="1867" spans="1:2" x14ac:dyDescent="0.3">
      <c r="A1867" s="7" t="str">
        <f>HYPERLINK("http://www.eatonpowersource.com/products/configure/screw-in%20cartridge%20valves/details/02-113044","02-113044")</f>
        <v>02-113044</v>
      </c>
      <c r="B1867" s="8" t="s">
        <v>1838</v>
      </c>
    </row>
    <row r="1868" spans="1:2" x14ac:dyDescent="0.3">
      <c r="A1868" s="5" t="str">
        <f>HYPERLINK("http://www.eatonpowersource.com/products/configure/screw-in%20cartridge%20valves/details/02-113056","02-113056")</f>
        <v>02-113056</v>
      </c>
      <c r="B1868" s="6" t="s">
        <v>1839</v>
      </c>
    </row>
    <row r="1869" spans="1:2" x14ac:dyDescent="0.3">
      <c r="A1869" s="7" t="str">
        <f>HYPERLINK("http://www.eatonpowersource.com/products/configure/screw-in%20cartridge%20valves/details/02-113113","02-113113")</f>
        <v>02-113113</v>
      </c>
      <c r="B1869" s="8" t="s">
        <v>1840</v>
      </c>
    </row>
    <row r="1870" spans="1:2" x14ac:dyDescent="0.3">
      <c r="A1870" s="5" t="str">
        <f>HYPERLINK("http://www.eatonpowersource.com/products/configure/screw-in%20cartridge%20valves/details/02-160701","02-160701")</f>
        <v>02-160701</v>
      </c>
      <c r="B1870" s="6" t="s">
        <v>1841</v>
      </c>
    </row>
    <row r="1871" spans="1:2" x14ac:dyDescent="0.3">
      <c r="A1871" s="7" t="str">
        <f>HYPERLINK("http://www.eatonpowersource.com/products/configure/screw-in%20cartridge%20valves/details/02-160759","02-160759")</f>
        <v>02-160759</v>
      </c>
      <c r="B1871" s="8" t="s">
        <v>1842</v>
      </c>
    </row>
    <row r="1872" spans="1:2" x14ac:dyDescent="0.3">
      <c r="A1872" s="5" t="str">
        <f>HYPERLINK("http://www.eatonpowersource.com/products/configure/screw-in%20cartridge%20valves/details/02-160761","02-160761")</f>
        <v>02-160761</v>
      </c>
      <c r="B1872" s="6" t="s">
        <v>1843</v>
      </c>
    </row>
    <row r="1873" spans="1:2" x14ac:dyDescent="0.3">
      <c r="A1873" s="7" t="str">
        <f>HYPERLINK("http://www.eatonpowersource.com/products/configure/screw-in%20cartridge%20valves/details/02-160762","02-160762")</f>
        <v>02-160762</v>
      </c>
      <c r="B1873" s="8" t="s">
        <v>1844</v>
      </c>
    </row>
    <row r="1874" spans="1:2" x14ac:dyDescent="0.3">
      <c r="A1874" s="5" t="str">
        <f>HYPERLINK("http://www.eatonpowersource.com/products/configure/screw-in%20cartridge%20valves/details/02-160763","02-160763")</f>
        <v>02-160763</v>
      </c>
      <c r="B1874" s="6" t="s">
        <v>1845</v>
      </c>
    </row>
    <row r="1875" spans="1:2" x14ac:dyDescent="0.3">
      <c r="A1875" s="7" t="str">
        <f>HYPERLINK("http://www.eatonpowersource.com/products/configure/screw-in%20cartridge%20valves/details/02-160765","02-160765")</f>
        <v>02-160765</v>
      </c>
      <c r="B1875" s="8" t="s">
        <v>1846</v>
      </c>
    </row>
    <row r="1876" spans="1:2" x14ac:dyDescent="0.3">
      <c r="A1876" s="5" t="str">
        <f>HYPERLINK("http://www.eatonpowersource.com/products/configure/screw-in%20cartridge%20valves/details/02-160767","02-160767")</f>
        <v>02-160767</v>
      </c>
      <c r="B1876" s="6" t="s">
        <v>1847</v>
      </c>
    </row>
    <row r="1877" spans="1:2" x14ac:dyDescent="0.3">
      <c r="A1877" s="7" t="str">
        <f>HYPERLINK("http://www.eatonpowersource.com/products/configure/screw-in%20cartridge%20valves/details/02-160769","02-160769")</f>
        <v>02-160769</v>
      </c>
      <c r="B1877" s="8" t="s">
        <v>1848</v>
      </c>
    </row>
    <row r="1878" spans="1:2" x14ac:dyDescent="0.3">
      <c r="A1878" s="5" t="str">
        <f>HYPERLINK("http://www.eatonpowersource.com/products/configure/screw-in%20cartridge%20valves/details/02-160771","02-160771")</f>
        <v>02-160771</v>
      </c>
      <c r="B1878" s="6" t="s">
        <v>1849</v>
      </c>
    </row>
    <row r="1879" spans="1:2" x14ac:dyDescent="0.3">
      <c r="A1879" s="7" t="str">
        <f>HYPERLINK("http://www.eatonpowersource.com/products/configure/screw-in%20cartridge%20valves/details/02-160773","02-160773")</f>
        <v>02-160773</v>
      </c>
      <c r="B1879" s="8" t="s">
        <v>1850</v>
      </c>
    </row>
    <row r="1880" spans="1:2" x14ac:dyDescent="0.3">
      <c r="A1880" s="5" t="str">
        <f>HYPERLINK("http://www.eatonpowersource.com/products/configure/screw-in%20cartridge%20valves/details/02-161062","02-161062")</f>
        <v>02-161062</v>
      </c>
      <c r="B1880" s="6" t="s">
        <v>1851</v>
      </c>
    </row>
    <row r="1881" spans="1:2" x14ac:dyDescent="0.3">
      <c r="A1881" s="7" t="str">
        <f>HYPERLINK("http://www.eatonpowersource.com/products/configure/screw-in%20cartridge%20valves/details/02-161143","02-161143")</f>
        <v>02-161143</v>
      </c>
      <c r="B1881" s="8" t="s">
        <v>1852</v>
      </c>
    </row>
    <row r="1882" spans="1:2" x14ac:dyDescent="0.3">
      <c r="A1882" s="5" t="str">
        <f>HYPERLINK("http://www.eatonpowersource.com/products/configure/screw-in%20cartridge%20valves/details/02-161311","02-161311")</f>
        <v>02-161311</v>
      </c>
      <c r="B1882" s="6" t="s">
        <v>1853</v>
      </c>
    </row>
    <row r="1883" spans="1:2" x14ac:dyDescent="0.3">
      <c r="A1883" s="7" t="str">
        <f>HYPERLINK("http://www.eatonpowersource.com/products/configure/screw-in%20cartridge%20valves/details/02-167044","02-167044")</f>
        <v>02-167044</v>
      </c>
      <c r="B1883" s="8" t="s">
        <v>1854</v>
      </c>
    </row>
    <row r="1884" spans="1:2" x14ac:dyDescent="0.3">
      <c r="A1884" s="5" t="str">
        <f>HYPERLINK("http://www.eatonpowersource.com/products/configure/screw-in%20cartridge%20valves/details/02-167194","02-167194")</f>
        <v>02-167194</v>
      </c>
      <c r="B1884" s="6" t="s">
        <v>1855</v>
      </c>
    </row>
    <row r="1885" spans="1:2" x14ac:dyDescent="0.3">
      <c r="A1885" s="7" t="str">
        <f>HYPERLINK("http://www.eatonpowersource.com/products/configure/screw-in%20cartridge%20valves/details/02-167204","02-167204")</f>
        <v>02-167204</v>
      </c>
      <c r="B1885" s="8" t="s">
        <v>1856</v>
      </c>
    </row>
    <row r="1886" spans="1:2" x14ac:dyDescent="0.3">
      <c r="A1886" s="5" t="str">
        <f>HYPERLINK("http://www.eatonpowersource.com/products/configure/screw-in%20cartridge%20valves/details/02-167224","02-167224")</f>
        <v>02-167224</v>
      </c>
      <c r="B1886" s="6" t="s">
        <v>1857</v>
      </c>
    </row>
    <row r="1887" spans="1:2" x14ac:dyDescent="0.3">
      <c r="A1887" s="7" t="str">
        <f>HYPERLINK("http://www.eatonpowersource.com/products/configure/screw-in%20cartridge%20valves/details/02-167261","02-167261")</f>
        <v>02-167261</v>
      </c>
      <c r="B1887" s="8" t="s">
        <v>1858</v>
      </c>
    </row>
    <row r="1888" spans="1:2" x14ac:dyDescent="0.3">
      <c r="A1888" s="5" t="str">
        <f>HYPERLINK("http://www.eatonpowersource.com/products/configure/screw-in%20cartridge%20valves/details/02-167272","02-167272")</f>
        <v>02-167272</v>
      </c>
      <c r="B1888" s="6" t="s">
        <v>1859</v>
      </c>
    </row>
    <row r="1889" spans="1:2" x14ac:dyDescent="0.3">
      <c r="A1889" s="7" t="str">
        <f>HYPERLINK("http://www.eatonpowersource.com/products/configure/screw-in%20cartridge%20valves/details/02-167357","02-167357")</f>
        <v>02-167357</v>
      </c>
      <c r="B1889" s="8" t="s">
        <v>1860</v>
      </c>
    </row>
    <row r="1890" spans="1:2" x14ac:dyDescent="0.3">
      <c r="A1890" s="5" t="str">
        <f>HYPERLINK("http://www.eatonpowersource.com/products/configure/screw-in%20cartridge%20valves/details/02-167432","02-167432")</f>
        <v>02-167432</v>
      </c>
      <c r="B1890" s="6" t="s">
        <v>1861</v>
      </c>
    </row>
    <row r="1891" spans="1:2" x14ac:dyDescent="0.3">
      <c r="A1891" s="7" t="str">
        <f>HYPERLINK("http://www.eatonpowersource.com/products/configure/screw-in%20cartridge%20valves/details/02-167475","02-167475")</f>
        <v>02-167475</v>
      </c>
      <c r="B1891" s="8" t="s">
        <v>1862</v>
      </c>
    </row>
    <row r="1892" spans="1:2" x14ac:dyDescent="0.3">
      <c r="A1892" s="5" t="str">
        <f>HYPERLINK("http://www.eatonpowersource.com/products/configure/screw-in%20cartridge%20valves/details/02-167542","02-167542")</f>
        <v>02-167542</v>
      </c>
      <c r="B1892" s="6" t="s">
        <v>1863</v>
      </c>
    </row>
    <row r="1893" spans="1:2" x14ac:dyDescent="0.3">
      <c r="A1893" s="7" t="str">
        <f>HYPERLINK("http://www.eatonpowersource.com/products/configure/screw-in%20cartridge%20valves/details/02-167954","02-167954")</f>
        <v>02-167954</v>
      </c>
      <c r="B1893" s="8" t="s">
        <v>1864</v>
      </c>
    </row>
    <row r="1894" spans="1:2" x14ac:dyDescent="0.3">
      <c r="A1894" s="5" t="str">
        <f>HYPERLINK("http://www.eatonpowersource.com/products/configure/screw-in%20cartridge%20valves/details/02-174793","02-174793")</f>
        <v>02-174793</v>
      </c>
      <c r="B1894" s="6" t="s">
        <v>1865</v>
      </c>
    </row>
    <row r="1895" spans="1:2" x14ac:dyDescent="0.3">
      <c r="A1895" s="7" t="str">
        <f>HYPERLINK("http://www.eatonpowersource.com/products/configure/screw-in%20cartridge%20valves/details/02-174889","02-174889")</f>
        <v>02-174889</v>
      </c>
      <c r="B1895" s="8" t="s">
        <v>1866</v>
      </c>
    </row>
    <row r="1896" spans="1:2" x14ac:dyDescent="0.3">
      <c r="A1896" s="5" t="str">
        <f>HYPERLINK("http://www.eatonpowersource.com/products/configure/screw-in%20cartridge%20valves/details/02-175035","02-175035")</f>
        <v>02-175035</v>
      </c>
      <c r="B1896" s="6" t="s">
        <v>1867</v>
      </c>
    </row>
    <row r="1897" spans="1:2" x14ac:dyDescent="0.3">
      <c r="A1897" s="7" t="str">
        <f>HYPERLINK("http://www.eatonpowersource.com/products/configure/screw-in%20cartridge%20valves/details/02-175799","02-175799")</f>
        <v>02-175799</v>
      </c>
      <c r="B1897" s="8" t="s">
        <v>1868</v>
      </c>
    </row>
    <row r="1898" spans="1:2" x14ac:dyDescent="0.3">
      <c r="A1898" s="5" t="str">
        <f>HYPERLINK("http://www.eatonpowersource.com/products/configure/screw-in%20cartridge%20valves/details/02-175801","02-175801")</f>
        <v>02-175801</v>
      </c>
      <c r="B1898" s="6" t="s">
        <v>1869</v>
      </c>
    </row>
    <row r="1899" spans="1:2" x14ac:dyDescent="0.3">
      <c r="A1899" s="7" t="str">
        <f>HYPERLINK("http://www.eatonpowersource.com/products/configure/screw-in%20cartridge%20valves/details/02-175803","02-175803")</f>
        <v>02-175803</v>
      </c>
      <c r="B1899" s="8" t="s">
        <v>1870</v>
      </c>
    </row>
    <row r="1900" spans="1:2" x14ac:dyDescent="0.3">
      <c r="A1900" s="5" t="str">
        <f>HYPERLINK("http://www.eatonpowersource.com/products/configure/screw-in%20cartridge%20valves/details/02-175805","02-175805")</f>
        <v>02-175805</v>
      </c>
      <c r="B1900" s="6" t="s">
        <v>1871</v>
      </c>
    </row>
    <row r="1901" spans="1:2" x14ac:dyDescent="0.3">
      <c r="A1901" s="7" t="str">
        <f>HYPERLINK("http://www.eatonpowersource.com/products/configure/screw-in%20cartridge%20valves/details/02-175809","02-175809")</f>
        <v>02-175809</v>
      </c>
      <c r="B1901" s="8" t="s">
        <v>1872</v>
      </c>
    </row>
    <row r="1902" spans="1:2" x14ac:dyDescent="0.3">
      <c r="A1902" s="5" t="str">
        <f>HYPERLINK("http://www.eatonpowersource.com/products/configure/screw-in%20cartridge%20valves/details/02-175811","02-175811")</f>
        <v>02-175811</v>
      </c>
      <c r="B1902" s="6" t="s">
        <v>1873</v>
      </c>
    </row>
    <row r="1903" spans="1:2" x14ac:dyDescent="0.3">
      <c r="A1903" s="7" t="str">
        <f>HYPERLINK("http://www.eatonpowersource.com/products/configure/screw-in%20cartridge%20valves/details/02-175813","02-175813")</f>
        <v>02-175813</v>
      </c>
      <c r="B1903" s="8" t="s">
        <v>1874</v>
      </c>
    </row>
    <row r="1904" spans="1:2" x14ac:dyDescent="0.3">
      <c r="A1904" s="5" t="str">
        <f>HYPERLINK("http://www.eatonpowersource.com/products/configure/screw-in%20cartridge%20valves/details/02-175814","02-175814")</f>
        <v>02-175814</v>
      </c>
      <c r="B1904" s="6" t="s">
        <v>1875</v>
      </c>
    </row>
    <row r="1905" spans="1:2" x14ac:dyDescent="0.3">
      <c r="A1905" s="7" t="str">
        <f>HYPERLINK("http://www.eatonpowersource.com/products/configure/screw-in%20cartridge%20valves/details/02-175817","02-175817")</f>
        <v>02-175817</v>
      </c>
      <c r="B1905" s="8" t="s">
        <v>1876</v>
      </c>
    </row>
    <row r="1906" spans="1:2" x14ac:dyDescent="0.3">
      <c r="A1906" s="5" t="str">
        <f>HYPERLINK("http://www.eatonpowersource.com/products/configure/screw-in%20cartridge%20valves/details/02-175819","02-175819")</f>
        <v>02-175819</v>
      </c>
      <c r="B1906" s="6" t="s">
        <v>1877</v>
      </c>
    </row>
    <row r="1907" spans="1:2" x14ac:dyDescent="0.3">
      <c r="A1907" s="7" t="str">
        <f>HYPERLINK("http://www.eatonpowersource.com/products/configure/screw-in%20cartridge%20valves/details/02-175821","02-175821")</f>
        <v>02-175821</v>
      </c>
      <c r="B1907" s="8" t="s">
        <v>1878</v>
      </c>
    </row>
    <row r="1908" spans="1:2" x14ac:dyDescent="0.3">
      <c r="A1908" s="5" t="str">
        <f>HYPERLINK("http://www.eatonpowersource.com/products/configure/screw-in%20cartridge%20valves/details/02-175823","02-175823")</f>
        <v>02-175823</v>
      </c>
      <c r="B1908" s="6" t="s">
        <v>1879</v>
      </c>
    </row>
    <row r="1909" spans="1:2" x14ac:dyDescent="0.3">
      <c r="A1909" s="7" t="str">
        <f>HYPERLINK("http://www.eatonpowersource.com/products/configure/screw-in%20cartridge%20valves/details/02-175825","02-175825")</f>
        <v>02-175825</v>
      </c>
      <c r="B1909" s="8" t="s">
        <v>1880</v>
      </c>
    </row>
    <row r="1910" spans="1:2" x14ac:dyDescent="0.3">
      <c r="A1910" s="5" t="str">
        <f>HYPERLINK("http://www.eatonpowersource.com/products/configure/screw-in%20cartridge%20valves/details/02-175826","02-175826")</f>
        <v>02-175826</v>
      </c>
      <c r="B1910" s="6" t="s">
        <v>1881</v>
      </c>
    </row>
    <row r="1911" spans="1:2" x14ac:dyDescent="0.3">
      <c r="A1911" s="7" t="str">
        <f>HYPERLINK("http://www.eatonpowersource.com/products/configure/screw-in%20cartridge%20valves/details/02-175827","02-175827")</f>
        <v>02-175827</v>
      </c>
      <c r="B1911" s="8" t="s">
        <v>1882</v>
      </c>
    </row>
    <row r="1912" spans="1:2" x14ac:dyDescent="0.3">
      <c r="A1912" s="5" t="str">
        <f>HYPERLINK("http://www.eatonpowersource.com/products/configure/screw-in%20cartridge%20valves/details/02-175828","02-175828")</f>
        <v>02-175828</v>
      </c>
      <c r="B1912" s="6" t="s">
        <v>1883</v>
      </c>
    </row>
    <row r="1913" spans="1:2" x14ac:dyDescent="0.3">
      <c r="A1913" s="7" t="str">
        <f>HYPERLINK("http://www.eatonpowersource.com/products/configure/screw-in%20cartridge%20valves/details/02-176176","02-176176")</f>
        <v>02-176176</v>
      </c>
      <c r="B1913" s="8" t="s">
        <v>1884</v>
      </c>
    </row>
    <row r="1914" spans="1:2" x14ac:dyDescent="0.3">
      <c r="A1914" s="5" t="str">
        <f>HYPERLINK("http://www.eatonpowersource.com/products/configure/screw-in%20cartridge%20valves/details/02-176555","02-176555")</f>
        <v>02-176555</v>
      </c>
      <c r="B1914" s="6" t="s">
        <v>1885</v>
      </c>
    </row>
    <row r="1915" spans="1:2" x14ac:dyDescent="0.3">
      <c r="A1915" s="7" t="str">
        <f>HYPERLINK("http://www.eatonpowersource.com/products/configure/screw-in%20cartridge%20valves/details/02-176578","02-176578")</f>
        <v>02-176578</v>
      </c>
      <c r="B1915" s="8" t="s">
        <v>1886</v>
      </c>
    </row>
    <row r="1916" spans="1:2" x14ac:dyDescent="0.3">
      <c r="A1916" s="5" t="str">
        <f>HYPERLINK("http://www.eatonpowersource.com/products/configure/screw-in%20cartridge%20valves/details/02-176938","02-176938")</f>
        <v>02-176938</v>
      </c>
      <c r="B1916" s="6" t="s">
        <v>1887</v>
      </c>
    </row>
    <row r="1917" spans="1:2" x14ac:dyDescent="0.3">
      <c r="A1917" s="7" t="str">
        <f>HYPERLINK("http://www.eatonpowersource.com/products/configure/screw-in%20cartridge%20valves/details/02-176953","02-176953")</f>
        <v>02-176953</v>
      </c>
      <c r="B1917" s="8" t="s">
        <v>1888</v>
      </c>
    </row>
    <row r="1918" spans="1:2" x14ac:dyDescent="0.3">
      <c r="A1918" s="5" t="str">
        <f>HYPERLINK("http://www.eatonpowersource.com/products/configure/screw-in%20cartridge%20valves/details/02-177072","02-177072")</f>
        <v>02-177072</v>
      </c>
      <c r="B1918" s="6" t="s">
        <v>1889</v>
      </c>
    </row>
    <row r="1919" spans="1:2" x14ac:dyDescent="0.3">
      <c r="A1919" s="7" t="str">
        <f>HYPERLINK("http://www.eatonpowersource.com/products/configure/screw-in%20cartridge%20valves/details/02-177078","02-177078")</f>
        <v>02-177078</v>
      </c>
      <c r="B1919" s="8" t="s">
        <v>1890</v>
      </c>
    </row>
    <row r="1920" spans="1:2" x14ac:dyDescent="0.3">
      <c r="A1920" s="5" t="str">
        <f>HYPERLINK("http://www.eatonpowersource.com/products/configure/screw-in%20cartridge%20valves/details/02-177081","02-177081")</f>
        <v>02-177081</v>
      </c>
      <c r="B1920" s="6" t="s">
        <v>1891</v>
      </c>
    </row>
    <row r="1921" spans="1:2" x14ac:dyDescent="0.3">
      <c r="A1921" s="7" t="str">
        <f>HYPERLINK("http://www.eatonpowersource.com/products/configure/screw-in%20cartridge%20valves/details/02-177086","02-177086")</f>
        <v>02-177086</v>
      </c>
      <c r="B1921" s="8" t="s">
        <v>1892</v>
      </c>
    </row>
    <row r="1922" spans="1:2" x14ac:dyDescent="0.3">
      <c r="A1922" s="5" t="str">
        <f>HYPERLINK("http://www.eatonpowersource.com/products/configure/screw-in%20cartridge%20valves/details/02-177087","02-177087")</f>
        <v>02-177087</v>
      </c>
      <c r="B1922" s="6" t="s">
        <v>1893</v>
      </c>
    </row>
    <row r="1923" spans="1:2" x14ac:dyDescent="0.3">
      <c r="A1923" s="7" t="str">
        <f>HYPERLINK("http://www.eatonpowersource.com/products/configure/screw-in%20cartridge%20valves/details/02-177096","02-177096")</f>
        <v>02-177096</v>
      </c>
      <c r="B1923" s="8" t="s">
        <v>1894</v>
      </c>
    </row>
    <row r="1924" spans="1:2" x14ac:dyDescent="0.3">
      <c r="A1924" s="5" t="str">
        <f>HYPERLINK("http://www.eatonpowersource.com/products/configure/screw-in%20cartridge%20valves/details/02-177576","02-177576")</f>
        <v>02-177576</v>
      </c>
      <c r="B1924" s="6" t="s">
        <v>1895</v>
      </c>
    </row>
    <row r="1925" spans="1:2" x14ac:dyDescent="0.3">
      <c r="A1925" s="7" t="str">
        <f>HYPERLINK("http://www.eatonpowersource.com/products/configure/screw-in%20cartridge%20valves/details/02-177577","02-177577")</f>
        <v>02-177577</v>
      </c>
      <c r="B1925" s="8" t="s">
        <v>1896</v>
      </c>
    </row>
    <row r="1926" spans="1:2" x14ac:dyDescent="0.3">
      <c r="A1926" s="5" t="str">
        <f>HYPERLINK("http://www.eatonpowersource.com/products/configure/screw-in%20cartridge%20valves/details/02-177578","02-177578")</f>
        <v>02-177578</v>
      </c>
      <c r="B1926" s="6" t="s">
        <v>1897</v>
      </c>
    </row>
    <row r="1927" spans="1:2" x14ac:dyDescent="0.3">
      <c r="A1927" s="7" t="str">
        <f>HYPERLINK("http://www.eatonpowersource.com/products/configure/screw-in%20cartridge%20valves/details/02-177579","02-177579")</f>
        <v>02-177579</v>
      </c>
      <c r="B1927" s="8" t="s">
        <v>1898</v>
      </c>
    </row>
    <row r="1928" spans="1:2" x14ac:dyDescent="0.3">
      <c r="A1928" s="5" t="str">
        <f>HYPERLINK("http://www.eatonpowersource.com/products/configure/screw-in%20cartridge%20valves/details/02-177580","02-177580")</f>
        <v>02-177580</v>
      </c>
      <c r="B1928" s="6" t="s">
        <v>1899</v>
      </c>
    </row>
    <row r="1929" spans="1:2" x14ac:dyDescent="0.3">
      <c r="A1929" s="7" t="str">
        <f>HYPERLINK("http://www.eatonpowersource.com/products/configure/screw-in%20cartridge%20valves/details/02-177581","02-177581")</f>
        <v>02-177581</v>
      </c>
      <c r="B1929" s="8" t="s">
        <v>1900</v>
      </c>
    </row>
    <row r="1930" spans="1:2" x14ac:dyDescent="0.3">
      <c r="A1930" s="5" t="str">
        <f>HYPERLINK("http://www.eatonpowersource.com/products/configure/screw-in%20cartridge%20valves/details/02-177582","02-177582")</f>
        <v>02-177582</v>
      </c>
      <c r="B1930" s="6" t="s">
        <v>1901</v>
      </c>
    </row>
    <row r="1931" spans="1:2" x14ac:dyDescent="0.3">
      <c r="A1931" s="7" t="str">
        <f>HYPERLINK("http://www.eatonpowersource.com/products/configure/screw-in%20cartridge%20valves/details/02-178084","02-178084")</f>
        <v>02-178084</v>
      </c>
      <c r="B1931" s="8" t="s">
        <v>1902</v>
      </c>
    </row>
    <row r="1932" spans="1:2" x14ac:dyDescent="0.3">
      <c r="A1932" s="5" t="str">
        <f>HYPERLINK("http://www.eatonpowersource.com/products/configure/screw-in%20cartridge%20valves/details/02-178104","02-178104")</f>
        <v>02-178104</v>
      </c>
      <c r="B1932" s="6" t="s">
        <v>1903</v>
      </c>
    </row>
    <row r="1933" spans="1:2" x14ac:dyDescent="0.3">
      <c r="A1933" s="7" t="str">
        <f>HYPERLINK("http://www.eatonpowersource.com/products/configure/screw-in%20cartridge%20valves/details/02-178106","02-178106")</f>
        <v>02-178106</v>
      </c>
      <c r="B1933" s="8" t="s">
        <v>1904</v>
      </c>
    </row>
    <row r="1934" spans="1:2" x14ac:dyDescent="0.3">
      <c r="A1934" s="5" t="str">
        <f>HYPERLINK("http://www.eatonpowersource.com/products/configure/screw-in%20cartridge%20valves/details/02-178109","02-178109")</f>
        <v>02-178109</v>
      </c>
      <c r="B1934" s="6" t="s">
        <v>1905</v>
      </c>
    </row>
    <row r="1935" spans="1:2" x14ac:dyDescent="0.3">
      <c r="A1935" s="7" t="str">
        <f>HYPERLINK("http://www.eatonpowersource.com/products/configure/screw-in%20cartridge%20valves/details/02-178635","02-178635")</f>
        <v>02-178635</v>
      </c>
      <c r="B1935" s="8" t="s">
        <v>1906</v>
      </c>
    </row>
    <row r="1936" spans="1:2" x14ac:dyDescent="0.3">
      <c r="A1936" s="5" t="str">
        <f>HYPERLINK("http://www.eatonpowersource.com/products/configure/screw-in%20cartridge%20valves/details/02-178638","02-178638")</f>
        <v>02-178638</v>
      </c>
      <c r="B1936" s="6" t="s">
        <v>1907</v>
      </c>
    </row>
    <row r="1937" spans="1:2" x14ac:dyDescent="0.3">
      <c r="A1937" s="7" t="str">
        <f>HYPERLINK("http://www.eatonpowersource.com/products/configure/screw-in%20cartridge%20valves/details/02-178640","02-178640")</f>
        <v>02-178640</v>
      </c>
      <c r="B1937" s="8" t="s">
        <v>1908</v>
      </c>
    </row>
    <row r="1938" spans="1:2" x14ac:dyDescent="0.3">
      <c r="A1938" s="5" t="str">
        <f>HYPERLINK("http://www.eatonpowersource.com/products/configure/screw-in%20cartridge%20valves/details/02-178641","02-178641")</f>
        <v>02-178641</v>
      </c>
      <c r="B1938" s="6" t="s">
        <v>1909</v>
      </c>
    </row>
    <row r="1939" spans="1:2" x14ac:dyDescent="0.3">
      <c r="A1939" s="7" t="str">
        <f>HYPERLINK("http://www.eatonpowersource.com/products/configure/screw-in%20cartridge%20valves/details/02-178656","02-178656")</f>
        <v>02-178656</v>
      </c>
      <c r="B1939" s="8" t="s">
        <v>1910</v>
      </c>
    </row>
    <row r="1940" spans="1:2" x14ac:dyDescent="0.3">
      <c r="A1940" s="5" t="str">
        <f>HYPERLINK("http://www.eatonpowersource.com/products/configure/screw-in%20cartridge%20valves/details/02-178657","02-178657")</f>
        <v>02-178657</v>
      </c>
      <c r="B1940" s="6" t="s">
        <v>1911</v>
      </c>
    </row>
    <row r="1941" spans="1:2" x14ac:dyDescent="0.3">
      <c r="A1941" s="7" t="str">
        <f>HYPERLINK("http://www.eatonpowersource.com/products/configure/screw-in%20cartridge%20valves/details/02-178658","02-178658")</f>
        <v>02-178658</v>
      </c>
      <c r="B1941" s="8" t="s">
        <v>1912</v>
      </c>
    </row>
    <row r="1942" spans="1:2" x14ac:dyDescent="0.3">
      <c r="A1942" s="5" t="str">
        <f>HYPERLINK("http://www.eatonpowersource.com/products/configure/screw-in%20cartridge%20valves/details/02-178660","02-178660")</f>
        <v>02-178660</v>
      </c>
      <c r="B1942" s="6" t="s">
        <v>1913</v>
      </c>
    </row>
    <row r="1943" spans="1:2" x14ac:dyDescent="0.3">
      <c r="A1943" s="7" t="str">
        <f>HYPERLINK("http://www.eatonpowersource.com/products/configure/screw-in%20cartridge%20valves/details/02-179226","02-179226")</f>
        <v>02-179226</v>
      </c>
      <c r="B1943" s="8" t="s">
        <v>1914</v>
      </c>
    </row>
    <row r="1944" spans="1:2" x14ac:dyDescent="0.3">
      <c r="A1944" s="5" t="str">
        <f>HYPERLINK("http://www.eatonpowersource.com/products/configure/screw-in%20cartridge%20valves/details/02-180011","02-180011")</f>
        <v>02-180011</v>
      </c>
      <c r="B1944" s="6" t="s">
        <v>1915</v>
      </c>
    </row>
    <row r="1945" spans="1:2" x14ac:dyDescent="0.3">
      <c r="A1945" s="7" t="str">
        <f>HYPERLINK("http://www.eatonpowersource.com/products/configure/screw-in%20cartridge%20valves/details/02-180106","02-180106")</f>
        <v>02-180106</v>
      </c>
      <c r="B1945" s="8" t="s">
        <v>1916</v>
      </c>
    </row>
    <row r="1946" spans="1:2" x14ac:dyDescent="0.3">
      <c r="A1946" s="5" t="str">
        <f>HYPERLINK("http://www.eatonpowersource.com/products/configure/screw-in%20cartridge%20valves/details/02-180108","02-180108")</f>
        <v>02-180108</v>
      </c>
      <c r="B1946" s="6" t="s">
        <v>1917</v>
      </c>
    </row>
    <row r="1947" spans="1:2" x14ac:dyDescent="0.3">
      <c r="A1947" s="7" t="str">
        <f>HYPERLINK("http://www.eatonpowersource.com/products/configure/screw-in%20cartridge%20valves/details/02-180111","02-180111")</f>
        <v>02-180111</v>
      </c>
      <c r="B1947" s="8" t="s">
        <v>1918</v>
      </c>
    </row>
    <row r="1948" spans="1:2" x14ac:dyDescent="0.3">
      <c r="A1948" s="5" t="str">
        <f>HYPERLINK("http://www.eatonpowersource.com/products/configure/screw-in%20cartridge%20valves/details/02-180118","02-180118")</f>
        <v>02-180118</v>
      </c>
      <c r="B1948" s="6" t="s">
        <v>1919</v>
      </c>
    </row>
    <row r="1949" spans="1:2" x14ac:dyDescent="0.3">
      <c r="A1949" s="7" t="str">
        <f>HYPERLINK("http://www.eatonpowersource.com/products/configure/screw-in%20cartridge%20valves/details/02-180119","02-180119")</f>
        <v>02-180119</v>
      </c>
      <c r="B1949" s="8" t="s">
        <v>1920</v>
      </c>
    </row>
    <row r="1950" spans="1:2" x14ac:dyDescent="0.3">
      <c r="A1950" s="5" t="str">
        <f>HYPERLINK("http://www.eatonpowersource.com/products/configure/screw-in%20cartridge%20valves/details/02-180120","02-180120")</f>
        <v>02-180120</v>
      </c>
      <c r="B1950" s="6" t="s">
        <v>1921</v>
      </c>
    </row>
    <row r="1951" spans="1:2" x14ac:dyDescent="0.3">
      <c r="A1951" s="7" t="str">
        <f>HYPERLINK("http://www.eatonpowersource.com/products/configure/screw-in%20cartridge%20valves/details/02-180121","02-180121")</f>
        <v>02-180121</v>
      </c>
      <c r="B1951" s="8" t="s">
        <v>1922</v>
      </c>
    </row>
    <row r="1952" spans="1:2" x14ac:dyDescent="0.3">
      <c r="A1952" s="5" t="str">
        <f>HYPERLINK("http://www.eatonpowersource.com/products/configure/screw-in%20cartridge%20valves/details/02-180272","02-180272")</f>
        <v>02-180272</v>
      </c>
      <c r="B1952" s="6" t="s">
        <v>1923</v>
      </c>
    </row>
    <row r="1953" spans="1:2" x14ac:dyDescent="0.3">
      <c r="A1953" s="7" t="str">
        <f>HYPERLINK("http://www.eatonpowersource.com/products/configure/screw-in%20cartridge%20valves/details/02-180393","02-180393")</f>
        <v>02-180393</v>
      </c>
      <c r="B1953" s="8" t="s">
        <v>1924</v>
      </c>
    </row>
    <row r="1954" spans="1:2" x14ac:dyDescent="0.3">
      <c r="A1954" s="5" t="str">
        <f>HYPERLINK("http://www.eatonpowersource.com/products/configure/screw-in%20cartridge%20valves/details/02-180399","02-180399")</f>
        <v>02-180399</v>
      </c>
      <c r="B1954" s="6" t="s">
        <v>1925</v>
      </c>
    </row>
    <row r="1955" spans="1:2" x14ac:dyDescent="0.3">
      <c r="A1955" s="7" t="str">
        <f>HYPERLINK("http://www.eatonpowersource.com/products/configure/screw-in%20cartridge%20valves/details/02-180410","02-180410")</f>
        <v>02-180410</v>
      </c>
      <c r="B1955" s="8" t="s">
        <v>1926</v>
      </c>
    </row>
    <row r="1956" spans="1:2" x14ac:dyDescent="0.3">
      <c r="A1956" s="5" t="str">
        <f>HYPERLINK("http://www.eatonpowersource.com/products/configure/screw-in%20cartridge%20valves/details/02-180478","02-180478")</f>
        <v>02-180478</v>
      </c>
      <c r="B1956" s="6" t="s">
        <v>1927</v>
      </c>
    </row>
    <row r="1957" spans="1:2" x14ac:dyDescent="0.3">
      <c r="A1957" s="7" t="str">
        <f>HYPERLINK("http://www.eatonpowersource.com/products/configure/screw-in%20cartridge%20valves/details/02-181467","02-181467")</f>
        <v>02-181467</v>
      </c>
      <c r="B1957" s="8" t="s">
        <v>1928</v>
      </c>
    </row>
    <row r="1958" spans="1:2" x14ac:dyDescent="0.3">
      <c r="A1958" s="5" t="str">
        <f>HYPERLINK("http://www.eatonpowersource.com/products/configure/screw-in%20cartridge%20valves/details/02-181802","02-181802")</f>
        <v>02-181802</v>
      </c>
      <c r="B1958" s="6" t="s">
        <v>1929</v>
      </c>
    </row>
    <row r="1959" spans="1:2" x14ac:dyDescent="0.3">
      <c r="A1959" s="7" t="str">
        <f>HYPERLINK("http://www.eatonpowersource.com/products/configure/screw-in%20cartridge%20valves/details/02-181803","02-181803")</f>
        <v>02-181803</v>
      </c>
      <c r="B1959" s="8" t="s">
        <v>1930</v>
      </c>
    </row>
    <row r="1960" spans="1:2" x14ac:dyDescent="0.3">
      <c r="A1960" s="5" t="str">
        <f>HYPERLINK("http://www.eatonpowersource.com/products/configure/screw-in%20cartridge%20valves/details/02-181804","02-181804")</f>
        <v>02-181804</v>
      </c>
      <c r="B1960" s="6" t="s">
        <v>1931</v>
      </c>
    </row>
    <row r="1961" spans="1:2" x14ac:dyDescent="0.3">
      <c r="A1961" s="7" t="str">
        <f>HYPERLINK("http://www.eatonpowersource.com/products/configure/screw-in%20cartridge%20valves/details/02-181806","02-181806")</f>
        <v>02-181806</v>
      </c>
      <c r="B1961" s="8" t="s">
        <v>1932</v>
      </c>
    </row>
    <row r="1962" spans="1:2" x14ac:dyDescent="0.3">
      <c r="A1962" s="5" t="str">
        <f>HYPERLINK("http://www.eatonpowersource.com/products/configure/screw-in%20cartridge%20valves/details/02-181807","02-181807")</f>
        <v>02-181807</v>
      </c>
      <c r="B1962" s="6" t="s">
        <v>1933</v>
      </c>
    </row>
    <row r="1963" spans="1:2" x14ac:dyDescent="0.3">
      <c r="A1963" s="7" t="str">
        <f>HYPERLINK("http://www.eatonpowersource.com/products/configure/screw-in%20cartridge%20valves/details/02-181912","02-181912")</f>
        <v>02-181912</v>
      </c>
      <c r="B1963" s="8" t="s">
        <v>1934</v>
      </c>
    </row>
    <row r="1964" spans="1:2" x14ac:dyDescent="0.3">
      <c r="A1964" s="5" t="str">
        <f>HYPERLINK("http://www.eatonpowersource.com/products/configure/screw-in%20cartridge%20valves/details/02-181973","02-181973")</f>
        <v>02-181973</v>
      </c>
      <c r="B1964" s="6" t="s">
        <v>1935</v>
      </c>
    </row>
    <row r="1965" spans="1:2" x14ac:dyDescent="0.3">
      <c r="A1965" s="7" t="str">
        <f>HYPERLINK("http://www.eatonpowersource.com/products/configure/screw-in%20cartridge%20valves/details/02-182327","02-182327")</f>
        <v>02-182327</v>
      </c>
      <c r="B1965" s="8" t="s">
        <v>1936</v>
      </c>
    </row>
    <row r="1966" spans="1:2" x14ac:dyDescent="0.3">
      <c r="A1966" s="5" t="str">
        <f>HYPERLINK("http://www.eatonpowersource.com/products/configure/screw-in%20cartridge%20valves/details/02-183321","02-183321")</f>
        <v>02-183321</v>
      </c>
      <c r="B1966" s="6" t="s">
        <v>1937</v>
      </c>
    </row>
    <row r="1967" spans="1:2" x14ac:dyDescent="0.3">
      <c r="A1967" s="7" t="str">
        <f>HYPERLINK("http://www.eatonpowersource.com/products/configure/screw-in%20cartridge%20valves/details/02-183549","02-183549")</f>
        <v>02-183549</v>
      </c>
      <c r="B1967" s="8" t="s">
        <v>1938</v>
      </c>
    </row>
    <row r="1968" spans="1:2" x14ac:dyDescent="0.3">
      <c r="A1968" s="5" t="str">
        <f>HYPERLINK("http://www.eatonpowersource.com/products/configure/screw-in%20cartridge%20valves/details/02-183738","02-183738")</f>
        <v>02-183738</v>
      </c>
      <c r="B1968" s="6" t="s">
        <v>1939</v>
      </c>
    </row>
    <row r="1969" spans="1:2" x14ac:dyDescent="0.3">
      <c r="A1969" s="7" t="str">
        <f>HYPERLINK("http://www.eatonpowersource.com/products/configure/screw-in%20cartridge%20valves/details/02-184574","02-184574")</f>
        <v>02-184574</v>
      </c>
      <c r="B1969" s="8" t="s">
        <v>1940</v>
      </c>
    </row>
    <row r="1970" spans="1:2" x14ac:dyDescent="0.3">
      <c r="A1970" s="5" t="str">
        <f>HYPERLINK("http://www.eatonpowersource.com/products/configure/screw-in%20cartridge%20valves/details/02-185710","02-185710")</f>
        <v>02-185710</v>
      </c>
      <c r="B1970" s="6" t="s">
        <v>1941</v>
      </c>
    </row>
    <row r="1971" spans="1:2" x14ac:dyDescent="0.3">
      <c r="A1971" s="7" t="str">
        <f>HYPERLINK("http://www.eatonpowersource.com/products/configure/screw-in%20cartridge%20valves/details/02-198140","02-198140")</f>
        <v>02-198140</v>
      </c>
      <c r="B1971" s="8" t="s">
        <v>1942</v>
      </c>
    </row>
    <row r="1972" spans="1:2" x14ac:dyDescent="0.3">
      <c r="A1972" s="5" t="str">
        <f>HYPERLINK("http://www.eatonpowersource.com/products/configure/screw-in%20cartridge%20valves/details/02-198142","02-198142")</f>
        <v>02-198142</v>
      </c>
      <c r="B1972" s="6" t="s">
        <v>1943</v>
      </c>
    </row>
    <row r="1973" spans="1:2" x14ac:dyDescent="0.3">
      <c r="A1973" s="7" t="str">
        <f>HYPERLINK("http://www.eatonpowersource.com/products/configure/screw-in%20cartridge%20valves/details/02-198148","02-198148")</f>
        <v>02-198148</v>
      </c>
      <c r="B1973" s="8" t="s">
        <v>1944</v>
      </c>
    </row>
    <row r="1974" spans="1:2" x14ac:dyDescent="0.3">
      <c r="A1974" s="5" t="str">
        <f>HYPERLINK("http://www.eatonpowersource.com/products/configure/screw-in%20cartridge%20valves/details/02-198680","02-198680")</f>
        <v>02-198680</v>
      </c>
      <c r="B1974" s="6" t="s">
        <v>1945</v>
      </c>
    </row>
    <row r="1975" spans="1:2" x14ac:dyDescent="0.3">
      <c r="A1975" s="7" t="str">
        <f>HYPERLINK("http://www.eatonpowersource.com/products/configure/screw-in%20cartridge%20valves/details/02-198685","02-198685")</f>
        <v>02-198685</v>
      </c>
      <c r="B1975" s="8" t="s">
        <v>1946</v>
      </c>
    </row>
    <row r="1976" spans="1:2" x14ac:dyDescent="0.3">
      <c r="A1976" s="5" t="str">
        <f>HYPERLINK("http://www.eatonpowersource.com/products/configure/screw-in%20cartridge%20valves/details/02-198797","02-198797")</f>
        <v>02-198797</v>
      </c>
      <c r="B1976" s="6" t="s">
        <v>1947</v>
      </c>
    </row>
    <row r="1977" spans="1:2" x14ac:dyDescent="0.3">
      <c r="A1977" s="7" t="str">
        <f>HYPERLINK("http://www.eatonpowersource.com/products/configure/screw-in%20cartridge%20valves/details/02-199325","02-199325")</f>
        <v>02-199325</v>
      </c>
      <c r="B1977" s="8" t="s">
        <v>1948</v>
      </c>
    </row>
    <row r="1978" spans="1:2" x14ac:dyDescent="0.3">
      <c r="A1978" s="5" t="str">
        <f>HYPERLINK("http://www.eatonpowersource.com/products/configure/screw-in%20cartridge%20valves/details/02-199328","02-199328")</f>
        <v>02-199328</v>
      </c>
      <c r="B1978" s="6" t="s">
        <v>1949</v>
      </c>
    </row>
    <row r="1979" spans="1:2" x14ac:dyDescent="0.3">
      <c r="A1979" s="7" t="str">
        <f>HYPERLINK("http://www.eatonpowersource.com/products/configure/screw-in%20cartridge%20valves/details/02-199329","02-199329")</f>
        <v>02-199329</v>
      </c>
      <c r="B1979" s="8" t="s">
        <v>1950</v>
      </c>
    </row>
    <row r="1980" spans="1:2" x14ac:dyDescent="0.3">
      <c r="A1980" s="5" t="str">
        <f>HYPERLINK("http://www.eatonpowersource.com/products/configure/screw-in%20cartridge%20valves/details/02-199468","02-199468")</f>
        <v>02-199468</v>
      </c>
      <c r="B1980" s="6" t="s">
        <v>1951</v>
      </c>
    </row>
    <row r="1981" spans="1:2" x14ac:dyDescent="0.3">
      <c r="A1981" s="7" t="str">
        <f>HYPERLINK("http://www.eatonpowersource.com/products/configure/screw-in%20cartridge%20valves/details/02-199471","02-199471")</f>
        <v>02-199471</v>
      </c>
      <c r="B1981" s="8" t="s">
        <v>1952</v>
      </c>
    </row>
    <row r="1982" spans="1:2" x14ac:dyDescent="0.3">
      <c r="A1982" s="5" t="str">
        <f>HYPERLINK("http://www.eatonpowersource.com/products/configure/screw-in%20cartridge%20valves/details/02-199568","02-199568")</f>
        <v>02-199568</v>
      </c>
      <c r="B1982" s="6" t="s">
        <v>1953</v>
      </c>
    </row>
    <row r="1983" spans="1:2" x14ac:dyDescent="0.3">
      <c r="A1983" s="7" t="str">
        <f>HYPERLINK("http://www.eatonpowersource.com/products/configure/screw-in%20cartridge%20valves/details/02-199783","02-199783")</f>
        <v>02-199783</v>
      </c>
      <c r="B1983" s="8" t="s">
        <v>1954</v>
      </c>
    </row>
    <row r="1984" spans="1:2" x14ac:dyDescent="0.3">
      <c r="A1984" s="5" t="str">
        <f>HYPERLINK("http://www.eatonpowersource.com/products/configure/screw-in%20cartridge%20valves/details/02-200947","02-200947")</f>
        <v>02-200947</v>
      </c>
      <c r="B1984" s="6" t="s">
        <v>1955</v>
      </c>
    </row>
    <row r="1985" spans="1:2" x14ac:dyDescent="0.3">
      <c r="A1985" s="7" t="str">
        <f>HYPERLINK("http://www.eatonpowersource.com/products/configure/screw-in%20cartridge%20valves/details/02-200980","02-200980")</f>
        <v>02-200980</v>
      </c>
      <c r="B1985" s="8" t="s">
        <v>1956</v>
      </c>
    </row>
    <row r="1986" spans="1:2" x14ac:dyDescent="0.3">
      <c r="A1986" s="5" t="str">
        <f>HYPERLINK("http://www.eatonpowersource.com/products/configure/screw-in%20cartridge%20valves/details/02-201207","02-201207")</f>
        <v>02-201207</v>
      </c>
      <c r="B1986" s="6" t="s">
        <v>1957</v>
      </c>
    </row>
    <row r="1987" spans="1:2" x14ac:dyDescent="0.3">
      <c r="A1987" s="7" t="str">
        <f>HYPERLINK("http://www.eatonpowersource.com/products/configure/screw-in%20cartridge%20valves/details/02-201209","02-201209")</f>
        <v>02-201209</v>
      </c>
      <c r="B1987" s="8" t="s">
        <v>1958</v>
      </c>
    </row>
    <row r="1988" spans="1:2" x14ac:dyDescent="0.3">
      <c r="A1988" s="5" t="str">
        <f>HYPERLINK("http://www.eatonpowersource.com/products/configure/screw-in%20cartridge%20valves/details/02-201210","02-201210")</f>
        <v>02-201210</v>
      </c>
      <c r="B1988" s="6" t="s">
        <v>1959</v>
      </c>
    </row>
    <row r="1989" spans="1:2" x14ac:dyDescent="0.3">
      <c r="A1989" s="7" t="str">
        <f>HYPERLINK("http://www.eatonpowersource.com/products/configure/screw-in%20cartridge%20valves/details/02-201211","02-201211")</f>
        <v>02-201211</v>
      </c>
      <c r="B1989" s="8" t="s">
        <v>1960</v>
      </c>
    </row>
    <row r="1990" spans="1:2" x14ac:dyDescent="0.3">
      <c r="A1990" s="5" t="str">
        <f>HYPERLINK("http://www.eatonpowersource.com/products/configure/screw-in%20cartridge%20valves/details/02-201212","02-201212")</f>
        <v>02-201212</v>
      </c>
      <c r="B1990" s="6" t="s">
        <v>1961</v>
      </c>
    </row>
    <row r="1991" spans="1:2" x14ac:dyDescent="0.3">
      <c r="A1991" s="7" t="str">
        <f>HYPERLINK("http://www.eatonpowersource.com/products/configure/screw-in%20cartridge%20valves/details/02-201213","02-201213")</f>
        <v>02-201213</v>
      </c>
      <c r="B1991" s="8" t="s">
        <v>1962</v>
      </c>
    </row>
    <row r="1992" spans="1:2" x14ac:dyDescent="0.3">
      <c r="A1992" s="5" t="str">
        <f>HYPERLINK("http://www.eatonpowersource.com/products/configure/screw-in%20cartridge%20valves/details/02-201253","02-201253")</f>
        <v>02-201253</v>
      </c>
      <c r="B1992" s="6" t="s">
        <v>1963</v>
      </c>
    </row>
    <row r="1993" spans="1:2" x14ac:dyDescent="0.3">
      <c r="A1993" s="7" t="str">
        <f>HYPERLINK("http://www.eatonpowersource.com/products/configure/screw-in%20cartridge%20valves/details/300aa00001a","300AA00001A")</f>
        <v>300AA00001A</v>
      </c>
      <c r="B1993" s="8" t="s">
        <v>1964</v>
      </c>
    </row>
    <row r="1994" spans="1:2" x14ac:dyDescent="0.3">
      <c r="A1994" s="5" t="str">
        <f>HYPERLINK("http://www.eatonpowersource.com/products/configure/screw-in%20cartridge%20valves/details/300aa00002a","300AA00002A")</f>
        <v>300AA00002A</v>
      </c>
      <c r="B1994" s="6" t="s">
        <v>1965</v>
      </c>
    </row>
    <row r="1995" spans="1:2" x14ac:dyDescent="0.3">
      <c r="A1995" s="7" t="str">
        <f>HYPERLINK("http://www.eatonpowersource.com/products/configure/screw-in%20cartridge%20valves/details/300aa00004a","300AA00004A")</f>
        <v>300AA00004A</v>
      </c>
      <c r="B1995" s="8" t="s">
        <v>1966</v>
      </c>
    </row>
    <row r="1996" spans="1:2" x14ac:dyDescent="0.3">
      <c r="A1996" s="5" t="str">
        <f>HYPERLINK("http://www.eatonpowersource.com/products/configure/screw-in%20cartridge%20valves/details/300aa00005a","300AA00005A")</f>
        <v>300AA00005A</v>
      </c>
      <c r="B1996" s="6" t="s">
        <v>1967</v>
      </c>
    </row>
    <row r="1997" spans="1:2" x14ac:dyDescent="0.3">
      <c r="A1997" s="7" t="str">
        <f>HYPERLINK("http://www.eatonpowersource.com/products/configure/screw-in%20cartridge%20valves/details/300aa00006a","300AA00006A")</f>
        <v>300AA00006A</v>
      </c>
      <c r="B1997" s="8" t="s">
        <v>1968</v>
      </c>
    </row>
    <row r="1998" spans="1:2" x14ac:dyDescent="0.3">
      <c r="A1998" s="5" t="str">
        <f>HYPERLINK("http://www.eatonpowersource.com/products/configure/screw-in%20cartridge%20valves/details/300aa00007a","300AA00007A")</f>
        <v>300AA00007A</v>
      </c>
      <c r="B1998" s="6" t="s">
        <v>1969</v>
      </c>
    </row>
    <row r="1999" spans="1:2" x14ac:dyDescent="0.3">
      <c r="A1999" s="7" t="str">
        <f>HYPERLINK("http://www.eatonpowersource.com/products/configure/screw-in%20cartridge%20valves/details/300aa00008a","300AA00008A")</f>
        <v>300AA00008A</v>
      </c>
      <c r="B1999" s="8" t="s">
        <v>1970</v>
      </c>
    </row>
    <row r="2000" spans="1:2" x14ac:dyDescent="0.3">
      <c r="A2000" s="5" t="str">
        <f>HYPERLINK("http://www.eatonpowersource.com/products/configure/screw-in%20cartridge%20valves/details/300aa00015a","300AA00015A")</f>
        <v>300AA00015A</v>
      </c>
      <c r="B2000" s="6" t="s">
        <v>1971</v>
      </c>
    </row>
    <row r="2001" spans="1:2" x14ac:dyDescent="0.3">
      <c r="A2001" s="7" t="str">
        <f>HYPERLINK("http://www.eatonpowersource.com/products/configure/screw-in%20cartridge%20valves/details/300aa00016a","300AA00016A")</f>
        <v>300AA00016A</v>
      </c>
      <c r="B2001" s="8" t="s">
        <v>1972</v>
      </c>
    </row>
    <row r="2002" spans="1:2" x14ac:dyDescent="0.3">
      <c r="A2002" s="5" t="str">
        <f>HYPERLINK("http://www.eatonpowersource.com/products/configure/screw-in%20cartridge%20valves/details/300aa00020a","300AA00020A")</f>
        <v>300AA00020A</v>
      </c>
      <c r="B2002" s="6" t="s">
        <v>1973</v>
      </c>
    </row>
    <row r="2003" spans="1:2" x14ac:dyDescent="0.3">
      <c r="A2003" s="7" t="str">
        <f>HYPERLINK("http://www.eatonpowersource.com/products/configure/screw-in%20cartridge%20valves/details/300aa00021a","300AA00021A")</f>
        <v>300AA00021A</v>
      </c>
      <c r="B2003" s="8" t="s">
        <v>1974</v>
      </c>
    </row>
    <row r="2004" spans="1:2" x14ac:dyDescent="0.3">
      <c r="A2004" s="5" t="str">
        <f>HYPERLINK("http://www.eatonpowersource.com/products/configure/screw-in%20cartridge%20valves/details/300aa00022a","300AA00022A")</f>
        <v>300AA00022A</v>
      </c>
      <c r="B2004" s="6" t="s">
        <v>1975</v>
      </c>
    </row>
    <row r="2005" spans="1:2" x14ac:dyDescent="0.3">
      <c r="A2005" s="7" t="str">
        <f>HYPERLINK("http://www.eatonpowersource.com/products/configure/screw-in%20cartridge%20valves/details/300aa00024a","300AA00024A")</f>
        <v>300AA00024A</v>
      </c>
      <c r="B2005" s="8" t="s">
        <v>1976</v>
      </c>
    </row>
    <row r="2006" spans="1:2" x14ac:dyDescent="0.3">
      <c r="A2006" s="5" t="str">
        <f>HYPERLINK("http://www.eatonpowersource.com/products/configure/screw-in%20cartridge%20valves/details/300aa00025a","300AA00025A")</f>
        <v>300AA00025A</v>
      </c>
      <c r="B2006" s="6" t="s">
        <v>1977</v>
      </c>
    </row>
    <row r="2007" spans="1:2" x14ac:dyDescent="0.3">
      <c r="A2007" s="7" t="str">
        <f>HYPERLINK("http://www.eatonpowersource.com/products/configure/screw-in%20cartridge%20valves/details/300aa00027a","300AA00027A")</f>
        <v>300AA00027A</v>
      </c>
      <c r="B2007" s="8" t="s">
        <v>1978</v>
      </c>
    </row>
    <row r="2008" spans="1:2" x14ac:dyDescent="0.3">
      <c r="A2008" s="5" t="str">
        <f>HYPERLINK("http://www.eatonpowersource.com/products/configure/screw-in%20cartridge%20valves/details/300aa00041a","300AA00041A")</f>
        <v>300AA00041A</v>
      </c>
      <c r="B2008" s="6" t="s">
        <v>1979</v>
      </c>
    </row>
    <row r="2009" spans="1:2" x14ac:dyDescent="0.3">
      <c r="A2009" s="7" t="str">
        <f>HYPERLINK("http://www.eatonpowersource.com/products/configure/screw-in%20cartridge%20valves/details/300aa00042a","300AA00042A")</f>
        <v>300AA00042A</v>
      </c>
      <c r="B2009" s="8" t="s">
        <v>1980</v>
      </c>
    </row>
    <row r="2010" spans="1:2" x14ac:dyDescent="0.3">
      <c r="A2010" s="5" t="str">
        <f>HYPERLINK("http://www.eatonpowersource.com/products/configure/screw-in%20cartridge%20valves/details/300aa00044a","300AA00044A")</f>
        <v>300AA00044A</v>
      </c>
      <c r="B2010" s="6" t="s">
        <v>1981</v>
      </c>
    </row>
    <row r="2011" spans="1:2" x14ac:dyDescent="0.3">
      <c r="A2011" s="7" t="str">
        <f>HYPERLINK("http://www.eatonpowersource.com/products/configure/screw-in%20cartridge%20valves/details/300aa00045a","300AA00045A")</f>
        <v>300AA00045A</v>
      </c>
      <c r="B2011" s="8" t="s">
        <v>1982</v>
      </c>
    </row>
    <row r="2012" spans="1:2" x14ac:dyDescent="0.3">
      <c r="A2012" s="5" t="str">
        <f>HYPERLINK("http://www.eatonpowersource.com/products/configure/screw-in%20cartridge%20valves/details/300aa00046a","300AA00046A")</f>
        <v>300AA00046A</v>
      </c>
      <c r="B2012" s="6" t="s">
        <v>1983</v>
      </c>
    </row>
    <row r="2013" spans="1:2" x14ac:dyDescent="0.3">
      <c r="A2013" s="7" t="str">
        <f>HYPERLINK("http://www.eatonpowersource.com/products/configure/screw-in%20cartridge%20valves/details/300aa00047a","300AA00047A")</f>
        <v>300AA00047A</v>
      </c>
      <c r="B2013" s="8" t="s">
        <v>1984</v>
      </c>
    </row>
    <row r="2014" spans="1:2" x14ac:dyDescent="0.3">
      <c r="A2014" s="5" t="str">
        <f>HYPERLINK("http://www.eatonpowersource.com/products/configure/screw-in%20cartridge%20valves/details/300aa00048a","300AA00048A")</f>
        <v>300AA00048A</v>
      </c>
      <c r="B2014" s="6" t="s">
        <v>1985</v>
      </c>
    </row>
    <row r="2015" spans="1:2" x14ac:dyDescent="0.3">
      <c r="A2015" s="7" t="str">
        <f>HYPERLINK("http://www.eatonpowersource.com/products/configure/screw-in%20cartridge%20valves/details/300aa00055a","300AA00055A")</f>
        <v>300AA00055A</v>
      </c>
      <c r="B2015" s="8" t="s">
        <v>1986</v>
      </c>
    </row>
    <row r="2016" spans="1:2" x14ac:dyDescent="0.3">
      <c r="A2016" s="5" t="str">
        <f>HYPERLINK("http://www.eatonpowersource.com/products/configure/screw-in%20cartridge%20valves/details/300aa00056a","300AA00056A")</f>
        <v>300AA00056A</v>
      </c>
      <c r="B2016" s="6" t="s">
        <v>1987</v>
      </c>
    </row>
    <row r="2017" spans="1:2" x14ac:dyDescent="0.3">
      <c r="A2017" s="7" t="str">
        <f>HYPERLINK("http://www.eatonpowersource.com/products/configure/screw-in%20cartridge%20valves/details/300aa00061a","300AA00061A")</f>
        <v>300AA00061A</v>
      </c>
      <c r="B2017" s="8" t="s">
        <v>1988</v>
      </c>
    </row>
    <row r="2018" spans="1:2" x14ac:dyDescent="0.3">
      <c r="A2018" s="5" t="str">
        <f>HYPERLINK("http://www.eatonpowersource.com/products/configure/screw-in%20cartridge%20valves/details/300aa00062a","300AA00062A")</f>
        <v>300AA00062A</v>
      </c>
      <c r="B2018" s="6" t="s">
        <v>1989</v>
      </c>
    </row>
    <row r="2019" spans="1:2" x14ac:dyDescent="0.3">
      <c r="A2019" s="7" t="str">
        <f>HYPERLINK("http://www.eatonpowersource.com/products/configure/screw-in%20cartridge%20valves/details/300aa00064a","300AA00064A")</f>
        <v>300AA00064A</v>
      </c>
      <c r="B2019" s="8" t="s">
        <v>1990</v>
      </c>
    </row>
    <row r="2020" spans="1:2" x14ac:dyDescent="0.3">
      <c r="A2020" s="5" t="str">
        <f>HYPERLINK("http://www.eatonpowersource.com/products/configure/screw-in%20cartridge%20valves/details/300aa00065a","300AA00065A")</f>
        <v>300AA00065A</v>
      </c>
      <c r="B2020" s="6" t="s">
        <v>1991</v>
      </c>
    </row>
    <row r="2021" spans="1:2" x14ac:dyDescent="0.3">
      <c r="A2021" s="7" t="str">
        <f>HYPERLINK("http://www.eatonpowersource.com/products/configure/screw-in%20cartridge%20valves/details/300aa00066a","300AA00066A")</f>
        <v>300AA00066A</v>
      </c>
      <c r="B2021" s="8" t="s">
        <v>1992</v>
      </c>
    </row>
    <row r="2022" spans="1:2" x14ac:dyDescent="0.3">
      <c r="A2022" s="5" t="str">
        <f>HYPERLINK("http://www.eatonpowersource.com/products/configure/screw-in%20cartridge%20valves/details/300aa00067a","300AA00067A")</f>
        <v>300AA00067A</v>
      </c>
      <c r="B2022" s="6" t="s">
        <v>1993</v>
      </c>
    </row>
    <row r="2023" spans="1:2" x14ac:dyDescent="0.3">
      <c r="A2023" s="7" t="str">
        <f>HYPERLINK("http://www.eatonpowersource.com/products/configure/screw-in%20cartridge%20valves/details/300aa00072a","300AA00072A")</f>
        <v>300AA00072A</v>
      </c>
      <c r="B2023" s="8" t="s">
        <v>1994</v>
      </c>
    </row>
    <row r="2024" spans="1:2" x14ac:dyDescent="0.3">
      <c r="A2024" s="5" t="str">
        <f>HYPERLINK("http://www.eatonpowersource.com/products/configure/screw-in%20cartridge%20valves/details/300aa00075a","300AA00075A")</f>
        <v>300AA00075A</v>
      </c>
      <c r="B2024" s="6" t="s">
        <v>1995</v>
      </c>
    </row>
    <row r="2025" spans="1:2" x14ac:dyDescent="0.3">
      <c r="A2025" s="7" t="str">
        <f>HYPERLINK("http://www.eatonpowersource.com/products/configure/screw-in%20cartridge%20valves/details/300aa00081a","300AA00081A")</f>
        <v>300AA00081A</v>
      </c>
      <c r="B2025" s="8" t="s">
        <v>1996</v>
      </c>
    </row>
    <row r="2026" spans="1:2" x14ac:dyDescent="0.3">
      <c r="A2026" s="5" t="str">
        <f>HYPERLINK("http://www.eatonpowersource.com/products/configure/screw-in%20cartridge%20valves/details/300aa00082a","300AA00082A")</f>
        <v>300AA00082A</v>
      </c>
      <c r="B2026" s="6" t="s">
        <v>1997</v>
      </c>
    </row>
    <row r="2027" spans="1:2" x14ac:dyDescent="0.3">
      <c r="A2027" s="7" t="str">
        <f>HYPERLINK("http://www.eatonpowersource.com/products/configure/screw-in%20cartridge%20valves/details/300aa00084a","300AA00084A")</f>
        <v>300AA00084A</v>
      </c>
      <c r="B2027" s="8" t="s">
        <v>1998</v>
      </c>
    </row>
    <row r="2028" spans="1:2" x14ac:dyDescent="0.3">
      <c r="A2028" s="5" t="str">
        <f>HYPERLINK("http://www.eatonpowersource.com/products/configure/screw-in%20cartridge%20valves/details/300aa00085a","300AA00085A")</f>
        <v>300AA00085A</v>
      </c>
      <c r="B2028" s="6" t="s">
        <v>1999</v>
      </c>
    </row>
    <row r="2029" spans="1:2" x14ac:dyDescent="0.3">
      <c r="A2029" s="7" t="str">
        <f>HYPERLINK("http://www.eatonpowersource.com/products/configure/screw-in%20cartridge%20valves/details/300aa00086a","300AA00086A")</f>
        <v>300AA00086A</v>
      </c>
      <c r="B2029" s="8" t="s">
        <v>2000</v>
      </c>
    </row>
    <row r="2030" spans="1:2" x14ac:dyDescent="0.3">
      <c r="A2030" s="5" t="str">
        <f>HYPERLINK("http://www.eatonpowersource.com/products/configure/screw-in%20cartridge%20valves/details/300aa00087a","300AA00087A")</f>
        <v>300AA00087A</v>
      </c>
      <c r="B2030" s="6" t="s">
        <v>2001</v>
      </c>
    </row>
    <row r="2031" spans="1:2" x14ac:dyDescent="0.3">
      <c r="A2031" s="7" t="str">
        <f>HYPERLINK("http://www.eatonpowersource.com/products/configure/screw-in%20cartridge%20valves/details/300aa00088a","300AA00088A")</f>
        <v>300AA00088A</v>
      </c>
      <c r="B2031" s="8" t="s">
        <v>2002</v>
      </c>
    </row>
    <row r="2032" spans="1:2" x14ac:dyDescent="0.3">
      <c r="A2032" s="5" t="str">
        <f>HYPERLINK("http://www.eatonpowersource.com/products/configure/screw-in%20cartridge%20valves/details/300aa00089a","300AA00089A")</f>
        <v>300AA00089A</v>
      </c>
      <c r="B2032" s="6" t="s">
        <v>2003</v>
      </c>
    </row>
    <row r="2033" spans="1:2" x14ac:dyDescent="0.3">
      <c r="A2033" s="7" t="str">
        <f>HYPERLINK("http://www.eatonpowersource.com/products/configure/screw-in%20cartridge%20valves/details/300aa00090a","300AA00090A")</f>
        <v>300AA00090A</v>
      </c>
      <c r="B2033" s="8" t="s">
        <v>2004</v>
      </c>
    </row>
    <row r="2034" spans="1:2" x14ac:dyDescent="0.3">
      <c r="A2034" s="5" t="str">
        <f>HYPERLINK("http://www.eatonpowersource.com/products/configure/screw-in%20cartridge%20valves/details/300aa00095a","300AA00095A")</f>
        <v>300AA00095A</v>
      </c>
      <c r="B2034" s="6" t="s">
        <v>2005</v>
      </c>
    </row>
    <row r="2035" spans="1:2" x14ac:dyDescent="0.3">
      <c r="A2035" s="7" t="str">
        <f>HYPERLINK("http://www.eatonpowersource.com/products/configure/screw-in%20cartridge%20valves/details/300aa00096a","300AA00096A")</f>
        <v>300AA00096A</v>
      </c>
      <c r="B2035" s="8" t="s">
        <v>2006</v>
      </c>
    </row>
    <row r="2036" spans="1:2" x14ac:dyDescent="0.3">
      <c r="A2036" s="5" t="str">
        <f>HYPERLINK("http://www.eatonpowersource.com/products/configure/screw-in%20cartridge%20valves/details/300aa00097a","300AA00097A")</f>
        <v>300AA00097A</v>
      </c>
      <c r="B2036" s="6" t="s">
        <v>2007</v>
      </c>
    </row>
    <row r="2037" spans="1:2" x14ac:dyDescent="0.3">
      <c r="A2037" s="7" t="str">
        <f>HYPERLINK("http://www.eatonpowersource.com/products/configure/screw-in%20cartridge%20valves/details/300aa00100a","300AA00100A")</f>
        <v>300AA00100A</v>
      </c>
      <c r="B2037" s="8" t="s">
        <v>2008</v>
      </c>
    </row>
    <row r="2038" spans="1:2" x14ac:dyDescent="0.3">
      <c r="A2038" s="5" t="str">
        <f>HYPERLINK("http://www.eatonpowersource.com/products/configure/screw-in%20cartridge%20valves/details/300aa00101a","300AA00101A")</f>
        <v>300AA00101A</v>
      </c>
      <c r="B2038" s="6" t="s">
        <v>2009</v>
      </c>
    </row>
    <row r="2039" spans="1:2" x14ac:dyDescent="0.3">
      <c r="A2039" s="7" t="str">
        <f>HYPERLINK("http://www.eatonpowersource.com/products/configure/screw-in%20cartridge%20valves/details/300aa00102a","300AA00102A")</f>
        <v>300AA00102A</v>
      </c>
      <c r="B2039" s="8" t="s">
        <v>2010</v>
      </c>
    </row>
    <row r="2040" spans="1:2" x14ac:dyDescent="0.3">
      <c r="A2040" s="5" t="str">
        <f>HYPERLINK("http://www.eatonpowersource.com/products/configure/screw-in%20cartridge%20valves/details/300aa00104a","300AA00104A")</f>
        <v>300AA00104A</v>
      </c>
      <c r="B2040" s="6" t="s">
        <v>2011</v>
      </c>
    </row>
    <row r="2041" spans="1:2" x14ac:dyDescent="0.3">
      <c r="A2041" s="7" t="str">
        <f>HYPERLINK("http://www.eatonpowersource.com/products/configure/screw-in%20cartridge%20valves/details/300aa00105a","300AA00105A")</f>
        <v>300AA00105A</v>
      </c>
      <c r="B2041" s="8" t="s">
        <v>2012</v>
      </c>
    </row>
    <row r="2042" spans="1:2" x14ac:dyDescent="0.3">
      <c r="A2042" s="5" t="str">
        <f>HYPERLINK("http://www.eatonpowersource.com/products/configure/screw-in%20cartridge%20valves/details/300aa00106a","300AA00106A")</f>
        <v>300AA00106A</v>
      </c>
      <c r="B2042" s="6" t="s">
        <v>2013</v>
      </c>
    </row>
    <row r="2043" spans="1:2" x14ac:dyDescent="0.3">
      <c r="A2043" s="7" t="str">
        <f>HYPERLINK("http://www.eatonpowersource.com/products/configure/screw-in%20cartridge%20valves/details/300aa00107a","300AA00107A")</f>
        <v>300AA00107A</v>
      </c>
      <c r="B2043" s="8" t="s">
        <v>2014</v>
      </c>
    </row>
    <row r="2044" spans="1:2" x14ac:dyDescent="0.3">
      <c r="A2044" s="5" t="str">
        <f>HYPERLINK("http://www.eatonpowersource.com/products/configure/screw-in%20cartridge%20valves/details/300aa00109a","300AA00109A")</f>
        <v>300AA00109A</v>
      </c>
      <c r="B2044" s="6" t="s">
        <v>2015</v>
      </c>
    </row>
    <row r="2045" spans="1:2" x14ac:dyDescent="0.3">
      <c r="A2045" s="7" t="str">
        <f>HYPERLINK("http://www.eatonpowersource.com/products/configure/screw-in%20cartridge%20valves/details/300aa00110a","300AA00110A")</f>
        <v>300AA00110A</v>
      </c>
      <c r="B2045" s="8" t="s">
        <v>2016</v>
      </c>
    </row>
    <row r="2046" spans="1:2" x14ac:dyDescent="0.3">
      <c r="A2046" s="5" t="str">
        <f>HYPERLINK("http://www.eatonpowersource.com/products/configure/screw-in%20cartridge%20valves/details/300aa00111a","300AA00111A")</f>
        <v>300AA00111A</v>
      </c>
      <c r="B2046" s="6" t="s">
        <v>2017</v>
      </c>
    </row>
    <row r="2047" spans="1:2" x14ac:dyDescent="0.3">
      <c r="A2047" s="7" t="str">
        <f>HYPERLINK("http://www.eatonpowersource.com/products/configure/screw-in%20cartridge%20valves/details/300aa00112a","300AA00112A")</f>
        <v>300AA00112A</v>
      </c>
      <c r="B2047" s="8" t="s">
        <v>2018</v>
      </c>
    </row>
    <row r="2048" spans="1:2" x14ac:dyDescent="0.3">
      <c r="A2048" s="5" t="str">
        <f>HYPERLINK("http://www.eatonpowersource.com/products/configure/screw-in%20cartridge%20valves/details/300aa00121a","300AA00121A")</f>
        <v>300AA00121A</v>
      </c>
      <c r="B2048" s="6" t="s">
        <v>2019</v>
      </c>
    </row>
    <row r="2049" spans="1:2" x14ac:dyDescent="0.3">
      <c r="A2049" s="7" t="str">
        <f>HYPERLINK("http://www.eatonpowersource.com/products/configure/screw-in%20cartridge%20valves/details/300aa00122a","300AA00122A")</f>
        <v>300AA00122A</v>
      </c>
      <c r="B2049" s="8" t="s">
        <v>2020</v>
      </c>
    </row>
    <row r="2050" spans="1:2" x14ac:dyDescent="0.3">
      <c r="A2050" s="5" t="str">
        <f>HYPERLINK("http://www.eatonpowersource.com/products/configure/screw-in%20cartridge%20valves/details/300aa00124a","300AA00124A")</f>
        <v>300AA00124A</v>
      </c>
      <c r="B2050" s="6" t="s">
        <v>2021</v>
      </c>
    </row>
    <row r="2051" spans="1:2" x14ac:dyDescent="0.3">
      <c r="A2051" s="7" t="str">
        <f>HYPERLINK("http://www.eatonpowersource.com/products/configure/screw-in%20cartridge%20valves/details/300aa00125a","300AA00125A")</f>
        <v>300AA00125A</v>
      </c>
      <c r="B2051" s="8" t="s">
        <v>2022</v>
      </c>
    </row>
    <row r="2052" spans="1:2" x14ac:dyDescent="0.3">
      <c r="A2052" s="5" t="str">
        <f>HYPERLINK("http://www.eatonpowersource.com/products/configure/screw-in%20cartridge%20valves/details/300aa00126a","300AA00126A")</f>
        <v>300AA00126A</v>
      </c>
      <c r="B2052" s="6" t="s">
        <v>2023</v>
      </c>
    </row>
    <row r="2053" spans="1:2" x14ac:dyDescent="0.3">
      <c r="A2053" s="7" t="str">
        <f>HYPERLINK("http://www.eatonpowersource.com/products/configure/screw-in%20cartridge%20valves/details/300aa00128a","300AA00128A")</f>
        <v>300AA00128A</v>
      </c>
      <c r="B2053" s="8" t="s">
        <v>2024</v>
      </c>
    </row>
    <row r="2054" spans="1:2" x14ac:dyDescent="0.3">
      <c r="A2054" s="5" t="str">
        <f>HYPERLINK("http://www.eatonpowersource.com/products/configure/screw-in%20cartridge%20valves/details/300aa00129a","300AA00129A")</f>
        <v>300AA00129A</v>
      </c>
      <c r="B2054" s="6" t="s">
        <v>2025</v>
      </c>
    </row>
    <row r="2055" spans="1:2" x14ac:dyDescent="0.3">
      <c r="A2055" s="7" t="str">
        <f>HYPERLINK("http://www.eatonpowersource.com/products/configure/screw-in%20cartridge%20valves/details/300aa00130a","300AA00130A")</f>
        <v>300AA00130A</v>
      </c>
      <c r="B2055" s="8" t="s">
        <v>2026</v>
      </c>
    </row>
    <row r="2056" spans="1:2" x14ac:dyDescent="0.3">
      <c r="A2056" s="5" t="str">
        <f>HYPERLINK("http://www.eatonpowersource.com/products/configure/screw-in%20cartridge%20valves/details/300aa00135a","300AA00135A")</f>
        <v>300AA00135A</v>
      </c>
      <c r="B2056" s="6" t="s">
        <v>2027</v>
      </c>
    </row>
    <row r="2057" spans="1:2" x14ac:dyDescent="0.3">
      <c r="A2057" s="7" t="str">
        <f>HYPERLINK("http://www.eatonpowersource.com/products/configure/screw-in%20cartridge%20valves/details/300aa00136a","300AA00136A")</f>
        <v>300AA00136A</v>
      </c>
      <c r="B2057" s="8" t="s">
        <v>2028</v>
      </c>
    </row>
    <row r="2058" spans="1:2" x14ac:dyDescent="0.3">
      <c r="A2058" s="5" t="str">
        <f>HYPERLINK("http://www.eatonpowersource.com/products/configure/screw-in%20cartridge%20valves/details/300aa00141a","300AA00141A")</f>
        <v>300AA00141A</v>
      </c>
      <c r="B2058" s="6" t="s">
        <v>2029</v>
      </c>
    </row>
    <row r="2059" spans="1:2" x14ac:dyDescent="0.3">
      <c r="A2059" s="7" t="str">
        <f>HYPERLINK("http://www.eatonpowersource.com/products/configure/screw-in%20cartridge%20valves/details/300aa00142a","300AA00142A")</f>
        <v>300AA00142A</v>
      </c>
      <c r="B2059" s="8" t="s">
        <v>2030</v>
      </c>
    </row>
    <row r="2060" spans="1:2" x14ac:dyDescent="0.3">
      <c r="A2060" s="5" t="str">
        <f>HYPERLINK("http://www.eatonpowersource.com/products/configure/screw-in%20cartridge%20valves/details/300aa00144a","300AA00144A")</f>
        <v>300AA00144A</v>
      </c>
      <c r="B2060" s="6" t="s">
        <v>2031</v>
      </c>
    </row>
    <row r="2061" spans="1:2" x14ac:dyDescent="0.3">
      <c r="A2061" s="7" t="str">
        <f>HYPERLINK("http://www.eatonpowersource.com/products/configure/screw-in%20cartridge%20valves/details/300aa00145a","300AA00145A")</f>
        <v>300AA00145A</v>
      </c>
      <c r="B2061" s="8" t="s">
        <v>2032</v>
      </c>
    </row>
    <row r="2062" spans="1:2" x14ac:dyDescent="0.3">
      <c r="A2062" s="5" t="str">
        <f>HYPERLINK("http://www.eatonpowersource.com/products/configure/screw-in%20cartridge%20valves/details/300aa00146a","300AA00146A")</f>
        <v>300AA00146A</v>
      </c>
      <c r="B2062" s="6" t="s">
        <v>2033</v>
      </c>
    </row>
    <row r="2063" spans="1:2" x14ac:dyDescent="0.3">
      <c r="A2063" s="7" t="str">
        <f>HYPERLINK("http://www.eatonpowersource.com/products/configure/screw-in%20cartridge%20valves/details/300aa00147a","300AA00147A")</f>
        <v>300AA00147A</v>
      </c>
      <c r="B2063" s="8" t="s">
        <v>2034</v>
      </c>
    </row>
    <row r="2064" spans="1:2" x14ac:dyDescent="0.3">
      <c r="A2064" s="5" t="str">
        <f>HYPERLINK("http://www.eatonpowersource.com/products/configure/screw-in%20cartridge%20valves/details/300aa00150a","300AA00150A")</f>
        <v>300AA00150A</v>
      </c>
      <c r="B2064" s="6" t="s">
        <v>2035</v>
      </c>
    </row>
    <row r="2065" spans="1:2" x14ac:dyDescent="0.3">
      <c r="A2065" s="7" t="str">
        <f>HYPERLINK("http://www.eatonpowersource.com/products/configure/screw-in%20cartridge%20valves/details/300aa00152a","300AA00152A")</f>
        <v>300AA00152A</v>
      </c>
      <c r="B2065" s="8" t="s">
        <v>2036</v>
      </c>
    </row>
    <row r="2066" spans="1:2" x14ac:dyDescent="0.3">
      <c r="A2066" s="5" t="str">
        <f>HYPERLINK("http://www.eatonpowersource.com/products/configure/screw-in%20cartridge%20valves/details/300aa00168a","300AA00168A")</f>
        <v>300AA00168A</v>
      </c>
      <c r="B2066" s="6" t="s">
        <v>2037</v>
      </c>
    </row>
    <row r="2067" spans="1:2" x14ac:dyDescent="0.3">
      <c r="A2067" s="7" t="str">
        <f>HYPERLINK("http://www.eatonpowersource.com/products/configure/screw-in%20cartridge%20valves/details/300aa00170a","300AA00170A")</f>
        <v>300AA00170A</v>
      </c>
      <c r="B2067" s="8" t="s">
        <v>2038</v>
      </c>
    </row>
    <row r="2068" spans="1:2" x14ac:dyDescent="0.3">
      <c r="A2068" s="5" t="str">
        <f>HYPERLINK("http://www.eatonpowersource.com/products/configure/screw-in%20cartridge%20valves/details/300aa00171a","300AA00171A")</f>
        <v>300AA00171A</v>
      </c>
      <c r="B2068" s="6" t="s">
        <v>2039</v>
      </c>
    </row>
    <row r="2069" spans="1:2" x14ac:dyDescent="0.3">
      <c r="A2069" s="7" t="str">
        <f>HYPERLINK("http://www.eatonpowersource.com/products/configure/screw-in%20cartridge%20valves/details/300aa00172a","300AA00172A")</f>
        <v>300AA00172A</v>
      </c>
      <c r="B2069" s="8" t="s">
        <v>2040</v>
      </c>
    </row>
    <row r="2070" spans="1:2" x14ac:dyDescent="0.3">
      <c r="A2070" s="5" t="str">
        <f>HYPERLINK("http://www.eatonpowersource.com/products/configure/screw-in%20cartridge%20valves/details/300aa00177a","300AA00177A")</f>
        <v>300AA00177A</v>
      </c>
      <c r="B2070" s="6" t="s">
        <v>2041</v>
      </c>
    </row>
    <row r="2071" spans="1:2" x14ac:dyDescent="0.3">
      <c r="A2071" s="7" t="str">
        <f>HYPERLINK("http://www.eatonpowersource.com/products/configure/screw-in%20cartridge%20valves/details/300aa00180a","300AA00180A")</f>
        <v>300AA00180A</v>
      </c>
      <c r="B2071" s="8" t="s">
        <v>2042</v>
      </c>
    </row>
    <row r="2072" spans="1:2" x14ac:dyDescent="0.3">
      <c r="A2072" s="5" t="str">
        <f>HYPERLINK("http://www.eatonpowersource.com/products/configure/screw-in%20cartridge%20valves/details/300aa00181a","300AA00181A")</f>
        <v>300AA00181A</v>
      </c>
      <c r="B2072" s="6" t="s">
        <v>2043</v>
      </c>
    </row>
    <row r="2073" spans="1:2" x14ac:dyDescent="0.3">
      <c r="A2073" s="7" t="str">
        <f>HYPERLINK("http://www.eatonpowersource.com/products/configure/screw-in%20cartridge%20valves/details/300aa00185a","300AA00185A")</f>
        <v>300AA00185A</v>
      </c>
      <c r="B2073" s="8" t="s">
        <v>2044</v>
      </c>
    </row>
    <row r="2074" spans="1:2" x14ac:dyDescent="0.3">
      <c r="A2074" s="5" t="str">
        <f>HYPERLINK("http://www.eatonpowersource.com/products/configure/screw-in%20cartridge%20valves/details/300aa00186a","300AA00186A")</f>
        <v>300AA00186A</v>
      </c>
      <c r="B2074" s="6" t="s">
        <v>2045</v>
      </c>
    </row>
    <row r="2075" spans="1:2" x14ac:dyDescent="0.3">
      <c r="A2075" s="7" t="str">
        <f>HYPERLINK("http://www.eatonpowersource.com/products/configure/screw-in%20cartridge%20valves/details/300aa00190a","300AA00190A")</f>
        <v>300AA00190A</v>
      </c>
      <c r="B2075" s="8" t="s">
        <v>2046</v>
      </c>
    </row>
    <row r="2076" spans="1:2" x14ac:dyDescent="0.3">
      <c r="A2076" s="5" t="str">
        <f>HYPERLINK("http://www.eatonpowersource.com/products/configure/screw-in%20cartridge%20valves/details/300aa00191a","300AA00191A")</f>
        <v>300AA00191A</v>
      </c>
      <c r="B2076" s="6" t="s">
        <v>2047</v>
      </c>
    </row>
    <row r="2077" spans="1:2" x14ac:dyDescent="0.3">
      <c r="A2077" s="7" t="str">
        <f>HYPERLINK("http://www.eatonpowersource.com/products/configure/screw-in%20cartridge%20valves/details/300aa00203a","300AA00203A")</f>
        <v>300AA00203A</v>
      </c>
      <c r="B2077" s="8" t="s">
        <v>2048</v>
      </c>
    </row>
    <row r="2078" spans="1:2" x14ac:dyDescent="0.3">
      <c r="A2078" s="5" t="str">
        <f>HYPERLINK("http://www.eatonpowersource.com/products/configure/screw-in%20cartridge%20valves/details/300aa00209a","300AA00209A")</f>
        <v>300AA00209A</v>
      </c>
      <c r="B2078" s="6" t="s">
        <v>2049</v>
      </c>
    </row>
    <row r="2079" spans="1:2" x14ac:dyDescent="0.3">
      <c r="A2079" s="7" t="str">
        <f>HYPERLINK("http://www.eatonpowersource.com/products/configure/screw-in%20cartridge%20valves/details/300aa00221a","300AA00221A")</f>
        <v>300AA00221A</v>
      </c>
      <c r="B2079" s="8" t="s">
        <v>2050</v>
      </c>
    </row>
    <row r="2080" spans="1:2" x14ac:dyDescent="0.3">
      <c r="A2080" s="5" t="str">
        <f>HYPERLINK("http://www.eatonpowersource.com/products/configure/screw-in%20cartridge%20valves/details/300aa00242a","300AA00242A")</f>
        <v>300AA00242A</v>
      </c>
      <c r="B2080" s="6" t="s">
        <v>2051</v>
      </c>
    </row>
    <row r="2081" spans="1:2" x14ac:dyDescent="0.3">
      <c r="A2081" s="7" t="str">
        <f>HYPERLINK("http://www.eatonpowersource.com/products/configure/screw-in%20cartridge%20valves/details/300aa00244a","300AA00244A")</f>
        <v>300AA00244A</v>
      </c>
      <c r="B2081" s="8" t="s">
        <v>2052</v>
      </c>
    </row>
    <row r="2082" spans="1:2" x14ac:dyDescent="0.3">
      <c r="A2082" s="5" t="str">
        <f>HYPERLINK("http://www.eatonpowersource.com/products/configure/screw-in%20cartridge%20valves/details/300aa00245a","300AA00245A")</f>
        <v>300AA00245A</v>
      </c>
      <c r="B2082" s="6" t="s">
        <v>2053</v>
      </c>
    </row>
    <row r="2083" spans="1:2" x14ac:dyDescent="0.3">
      <c r="A2083" s="7" t="str">
        <f>HYPERLINK("http://www.eatonpowersource.com/products/configure/screw-in%20cartridge%20valves/details/300aa00249a","300AA00249A")</f>
        <v>300AA00249A</v>
      </c>
      <c r="B2083" s="8" t="s">
        <v>2054</v>
      </c>
    </row>
    <row r="2084" spans="1:2" x14ac:dyDescent="0.3">
      <c r="A2084" s="5" t="str">
        <f>HYPERLINK("http://www.eatonpowersource.com/products/configure/screw-in%20cartridge%20valves/details/300aa00276a","300AA00276A")</f>
        <v>300AA00276A</v>
      </c>
      <c r="B2084" s="6" t="s">
        <v>2055</v>
      </c>
    </row>
    <row r="2085" spans="1:2" x14ac:dyDescent="0.3">
      <c r="A2085" s="7" t="str">
        <f>HYPERLINK("http://www.eatonpowersource.com/products/configure/screw-in%20cartridge%20valves/details/300aa00279a","300AA00279A")</f>
        <v>300AA00279A</v>
      </c>
      <c r="B2085" s="8" t="s">
        <v>2056</v>
      </c>
    </row>
    <row r="2086" spans="1:2" x14ac:dyDescent="0.3">
      <c r="A2086" s="5" t="str">
        <f>HYPERLINK("http://www.eatonpowersource.com/products/configure/screw-in%20cartridge%20valves/details/300aa00291a","300AA00291A")</f>
        <v>300AA00291A</v>
      </c>
      <c r="B2086" s="6" t="s">
        <v>2057</v>
      </c>
    </row>
    <row r="2087" spans="1:2" x14ac:dyDescent="0.3">
      <c r="A2087" s="7" t="str">
        <f>HYPERLINK("http://www.eatonpowersource.com/products/configure/screw-in%20cartridge%20valves/details/300aa00293a","300AA00293A")</f>
        <v>300AA00293A</v>
      </c>
      <c r="B2087" s="8" t="s">
        <v>2058</v>
      </c>
    </row>
    <row r="2088" spans="1:2" x14ac:dyDescent="0.3">
      <c r="A2088" s="5" t="str">
        <f>HYPERLINK("http://www.eatonpowersource.com/products/configure/screw-in%20cartridge%20valves/details/300aa00309a","300AA00309A")</f>
        <v>300AA00309A</v>
      </c>
      <c r="B2088" s="6" t="s">
        <v>2059</v>
      </c>
    </row>
    <row r="2089" spans="1:2" x14ac:dyDescent="0.3">
      <c r="A2089" s="7" t="str">
        <f>HYPERLINK("http://www.eatonpowersource.com/products/configure/screw-in%20cartridge%20valves/details/300aa00312a","300AA00312A")</f>
        <v>300AA00312A</v>
      </c>
      <c r="B2089" s="8" t="s">
        <v>2060</v>
      </c>
    </row>
    <row r="2090" spans="1:2" x14ac:dyDescent="0.3">
      <c r="A2090" s="5" t="str">
        <f>HYPERLINK("http://www.eatonpowersource.com/products/configure/screw-in%20cartridge%20valves/details/300aa00366a","300AA00366A")</f>
        <v>300AA00366A</v>
      </c>
      <c r="B2090" s="6" t="s">
        <v>2061</v>
      </c>
    </row>
    <row r="2091" spans="1:2" x14ac:dyDescent="0.3">
      <c r="A2091" s="7" t="str">
        <f>HYPERLINK("http://www.eatonpowersource.com/products/configure/screw-in%20cartridge%20valves/details/300aa00375a","300AA00375A")</f>
        <v>300AA00375A</v>
      </c>
      <c r="B2091" s="8" t="s">
        <v>2062</v>
      </c>
    </row>
    <row r="2092" spans="1:2" x14ac:dyDescent="0.3">
      <c r="A2092" s="5" t="str">
        <f>HYPERLINK("http://www.eatonpowersource.com/products/configure/screw-in%20cartridge%20valves/details/300aa00377a","300AA00377A")</f>
        <v>300AA00377A</v>
      </c>
      <c r="B2092" s="6" t="s">
        <v>2063</v>
      </c>
    </row>
    <row r="2093" spans="1:2" x14ac:dyDescent="0.3">
      <c r="A2093" s="7" t="str">
        <f>HYPERLINK("http://www.eatonpowersource.com/products/configure/screw-in%20cartridge%20valves/details/300aa00402a","300AA00402A")</f>
        <v>300AA00402A</v>
      </c>
      <c r="B2093" s="8" t="s">
        <v>2064</v>
      </c>
    </row>
    <row r="2094" spans="1:2" x14ac:dyDescent="0.3">
      <c r="A2094" s="5" t="str">
        <f>HYPERLINK("http://www.eatonpowersource.com/products/configure/screw-in%20cartridge%20valves/details/303aa00319a","303AA00319A")</f>
        <v>303AA00319A</v>
      </c>
      <c r="B2094" s="6" t="s">
        <v>2065</v>
      </c>
    </row>
    <row r="2095" spans="1:2" x14ac:dyDescent="0.3">
      <c r="A2095" s="7" t="str">
        <f>HYPERLINK("http://www.eatonpowersource.com/products/configure/screw-in%20cartridge%20valves/details/303aa00361a","303AA00361A")</f>
        <v>303AA00361A</v>
      </c>
      <c r="B2095" s="8" t="s">
        <v>2066</v>
      </c>
    </row>
    <row r="2096" spans="1:2" x14ac:dyDescent="0.3">
      <c r="A2096" s="5" t="str">
        <f>HYPERLINK("http://www.eatonpowersource.com/products/configure/screw-in%20cartridge%20valves/details/303aa00408a","303AA00408A")</f>
        <v>303AA00408A</v>
      </c>
      <c r="B2096" s="6" t="s">
        <v>2067</v>
      </c>
    </row>
    <row r="2097" spans="1:2" x14ac:dyDescent="0.3">
      <c r="A2097" s="7" t="str">
        <f>HYPERLINK("http://www.eatonpowersource.com/products/configure/screw-in%20cartridge%20valves/details/303aa00446a","303AA00446A")</f>
        <v>303AA00446A</v>
      </c>
      <c r="B2097" s="8" t="s">
        <v>2068</v>
      </c>
    </row>
    <row r="2098" spans="1:2" x14ac:dyDescent="0.3">
      <c r="A2098" s="5" t="str">
        <f>HYPERLINK("http://www.eatonpowersource.com/products/configure/screw-in%20cartridge%20valves/details/303aa00499a","303AA00499A")</f>
        <v>303AA00499A</v>
      </c>
      <c r="B2098" s="6" t="s">
        <v>2069</v>
      </c>
    </row>
    <row r="2099" spans="1:2" x14ac:dyDescent="0.3">
      <c r="A2099" s="7" t="str">
        <f>HYPERLINK("http://www.eatonpowersource.com/products/configure/screw-in%20cartridge%20valves/details/303aa00517a","303AA00517A")</f>
        <v>303AA00517A</v>
      </c>
      <c r="B2099" s="8" t="s">
        <v>2070</v>
      </c>
    </row>
    <row r="2100" spans="1:2" x14ac:dyDescent="0.3">
      <c r="A2100" s="5" t="str">
        <f>HYPERLINK("http://www.eatonpowersource.com/products/configure/screw-in%20cartridge%20valves/details/303aa00546a","303AA00546A")</f>
        <v>303AA00546A</v>
      </c>
      <c r="B2100" s="6" t="s">
        <v>2071</v>
      </c>
    </row>
    <row r="2101" spans="1:2" x14ac:dyDescent="0.3">
      <c r="A2101" s="7" t="str">
        <f>HYPERLINK("http://www.eatonpowersource.com/products/configure/screw-in%20cartridge%20valves/details/303aa00577a","303AA00577A")</f>
        <v>303AA00577A</v>
      </c>
      <c r="B2101" s="8" t="s">
        <v>2072</v>
      </c>
    </row>
    <row r="2102" spans="1:2" x14ac:dyDescent="0.3">
      <c r="A2102" s="5" t="str">
        <f>HYPERLINK("http://www.eatonpowersource.com/products/configure/screw-in%20cartridge%20valves/details/303aa00638a","303AA00638A")</f>
        <v>303AA00638A</v>
      </c>
      <c r="B2102" s="6" t="s">
        <v>2073</v>
      </c>
    </row>
    <row r="2103" spans="1:2" x14ac:dyDescent="0.3">
      <c r="A2103" s="7" t="str">
        <f>HYPERLINK("http://www.eatonpowersource.com/products/configure/screw-in%20cartridge%20valves/details/303aa00641a","303AA00641A")</f>
        <v>303AA00641A</v>
      </c>
      <c r="B2103" s="8" t="s">
        <v>2074</v>
      </c>
    </row>
    <row r="2104" spans="1:2" x14ac:dyDescent="0.3">
      <c r="A2104" s="5" t="str">
        <f>HYPERLINK("http://www.eatonpowersource.com/products/configure/screw-in%20cartridge%20valves/details/303aa00659a","303AA00659A")</f>
        <v>303AA00659A</v>
      </c>
      <c r="B2104" s="6" t="s">
        <v>2075</v>
      </c>
    </row>
    <row r="2105" spans="1:2" x14ac:dyDescent="0.3">
      <c r="A2105" s="7" t="str">
        <f>HYPERLINK("http://www.eatonpowersource.com/products/configure/screw-in%20cartridge%20valves/details/304aa00112a","304AA00112A")</f>
        <v>304AA00112A</v>
      </c>
      <c r="B2105" s="8" t="s">
        <v>2076</v>
      </c>
    </row>
    <row r="2106" spans="1:2" x14ac:dyDescent="0.3">
      <c r="A2106" s="5" t="str">
        <f>HYPERLINK("http://www.eatonpowersource.com/products/configure/screw-in%20cartridge%20valves/details/309aa00041a","309AA00041A")</f>
        <v>309AA00041A</v>
      </c>
      <c r="B2106" s="6" t="s">
        <v>2077</v>
      </c>
    </row>
    <row r="2107" spans="1:2" x14ac:dyDescent="0.3">
      <c r="A2107" s="7" t="str">
        <f>HYPERLINK("http://www.eatonpowersource.com/products/configure/screw-in%20cartridge%20valves/details/400aa00002a","400AA00002A")</f>
        <v>400AA00002A</v>
      </c>
      <c r="B2107" s="8" t="s">
        <v>2078</v>
      </c>
    </row>
    <row r="2108" spans="1:2" x14ac:dyDescent="0.3">
      <c r="A2108" s="5" t="str">
        <f>HYPERLINK("http://www.eatonpowersource.com/products/configure/screw-in%20cartridge%20valves/details/400aa00003a","400AA00003A")</f>
        <v>400AA00003A</v>
      </c>
      <c r="B2108" s="6" t="s">
        <v>2079</v>
      </c>
    </row>
    <row r="2109" spans="1:2" x14ac:dyDescent="0.3">
      <c r="A2109" s="7" t="str">
        <f>HYPERLINK("http://www.eatonpowersource.com/products/configure/screw-in%20cartridge%20valves/details/400aa00004a","400AA00004A")</f>
        <v>400AA00004A</v>
      </c>
      <c r="B2109" s="8" t="s">
        <v>2080</v>
      </c>
    </row>
    <row r="2110" spans="1:2" x14ac:dyDescent="0.3">
      <c r="A2110" s="5" t="str">
        <f>HYPERLINK("http://www.eatonpowersource.com/products/configure/screw-in%20cartridge%20valves/details/400aa00005a","400AA00005A")</f>
        <v>400AA00005A</v>
      </c>
      <c r="B2110" s="6" t="s">
        <v>2081</v>
      </c>
    </row>
    <row r="2111" spans="1:2" x14ac:dyDescent="0.3">
      <c r="A2111" s="7" t="str">
        <f>HYPERLINK("http://www.eatonpowersource.com/products/configure/screw-in%20cartridge%20valves/details/400aa00006a","400AA00006A")</f>
        <v>400AA00006A</v>
      </c>
      <c r="B2111" s="8" t="s">
        <v>2082</v>
      </c>
    </row>
    <row r="2112" spans="1:2" x14ac:dyDescent="0.3">
      <c r="A2112" s="5" t="str">
        <f>HYPERLINK("http://www.eatonpowersource.com/products/configure/screw-in%20cartridge%20valves/details/400aa00007a","400AA00007A")</f>
        <v>400AA00007A</v>
      </c>
      <c r="B2112" s="6" t="s">
        <v>2083</v>
      </c>
    </row>
    <row r="2113" spans="1:2" x14ac:dyDescent="0.3">
      <c r="A2113" s="7" t="str">
        <f>HYPERLINK("http://www.eatonpowersource.com/products/configure/screw-in%20cartridge%20valves/details/400aa00008a","400AA00008A")</f>
        <v>400AA00008A</v>
      </c>
      <c r="B2113" s="8" t="s">
        <v>2084</v>
      </c>
    </row>
    <row r="2114" spans="1:2" x14ac:dyDescent="0.3">
      <c r="A2114" s="5" t="str">
        <f>HYPERLINK("http://www.eatonpowersource.com/products/configure/screw-in%20cartridge%20valves/details/400aa00026a","400AA00026A")</f>
        <v>400AA00026A</v>
      </c>
      <c r="B2114" s="6" t="s">
        <v>2085</v>
      </c>
    </row>
    <row r="2115" spans="1:2" x14ac:dyDescent="0.3">
      <c r="A2115" s="7" t="str">
        <f>HYPERLINK("http://www.eatonpowersource.com/products/configure/screw-in%20cartridge%20valves/details/400aa00027a","400AA00027A")</f>
        <v>400AA00027A</v>
      </c>
      <c r="B2115" s="8" t="s">
        <v>2086</v>
      </c>
    </row>
    <row r="2116" spans="1:2" x14ac:dyDescent="0.3">
      <c r="A2116" s="5" t="str">
        <f>HYPERLINK("http://www.eatonpowersource.com/products/configure/screw-in%20cartridge%20valves/details/400aa00028a","400AA00028A")</f>
        <v>400AA00028A</v>
      </c>
      <c r="B2116" s="6" t="s">
        <v>2087</v>
      </c>
    </row>
    <row r="2117" spans="1:2" x14ac:dyDescent="0.3">
      <c r="A2117" s="7" t="str">
        <f>HYPERLINK("http://www.eatonpowersource.com/products/configure/screw-in%20cartridge%20valves/details/400aa00029a","400AA00029A")</f>
        <v>400AA00029A</v>
      </c>
      <c r="B2117" s="8" t="s">
        <v>2088</v>
      </c>
    </row>
    <row r="2118" spans="1:2" x14ac:dyDescent="0.3">
      <c r="A2118" s="5" t="str">
        <f>HYPERLINK("http://www.eatonpowersource.com/products/configure/screw-in%20cartridge%20valves/details/400aa00031a","400AA00031A")</f>
        <v>400AA00031A</v>
      </c>
      <c r="B2118" s="6" t="s">
        <v>2089</v>
      </c>
    </row>
    <row r="2119" spans="1:2" x14ac:dyDescent="0.3">
      <c r="A2119" s="7" t="str">
        <f>HYPERLINK("http://www.eatonpowersource.com/products/configure/screw-in%20cartridge%20valves/details/400aa00032a","400AA00032A")</f>
        <v>400AA00032A</v>
      </c>
      <c r="B2119" s="8" t="s">
        <v>2090</v>
      </c>
    </row>
    <row r="2120" spans="1:2" x14ac:dyDescent="0.3">
      <c r="A2120" s="5" t="str">
        <f>HYPERLINK("http://www.eatonpowersource.com/products/configure/screw-in%20cartridge%20valves/details/400aa00033a","400AA00033A")</f>
        <v>400AA00033A</v>
      </c>
      <c r="B2120" s="6" t="s">
        <v>2091</v>
      </c>
    </row>
    <row r="2121" spans="1:2" x14ac:dyDescent="0.3">
      <c r="A2121" s="7" t="str">
        <f>HYPERLINK("http://www.eatonpowersource.com/products/configure/screw-in%20cartridge%20valves/details/400aa00034a","400AA00034A")</f>
        <v>400AA00034A</v>
      </c>
      <c r="B2121" s="8" t="s">
        <v>2092</v>
      </c>
    </row>
    <row r="2122" spans="1:2" x14ac:dyDescent="0.3">
      <c r="A2122" s="5" t="str">
        <f>HYPERLINK("http://www.eatonpowersource.com/products/configure/screw-in%20cartridge%20valves/details/400aa00035a","400AA00035A")</f>
        <v>400AA00035A</v>
      </c>
      <c r="B2122" s="6" t="s">
        <v>2093</v>
      </c>
    </row>
    <row r="2123" spans="1:2" x14ac:dyDescent="0.3">
      <c r="A2123" s="7" t="str">
        <f>HYPERLINK("http://www.eatonpowersource.com/products/configure/screw-in%20cartridge%20valves/details/400aa00036a","400AA00036A")</f>
        <v>400AA00036A</v>
      </c>
      <c r="B2123" s="8" t="s">
        <v>2094</v>
      </c>
    </row>
    <row r="2124" spans="1:2" x14ac:dyDescent="0.3">
      <c r="A2124" s="5" t="str">
        <f>HYPERLINK("http://www.eatonpowersource.com/products/configure/screw-in%20cartridge%20valves/details/400aa00037a","400AA00037A")</f>
        <v>400AA00037A</v>
      </c>
      <c r="B2124" s="6" t="s">
        <v>2095</v>
      </c>
    </row>
    <row r="2125" spans="1:2" x14ac:dyDescent="0.3">
      <c r="A2125" s="7" t="str">
        <f>HYPERLINK("http://www.eatonpowersource.com/products/configure/screw-in%20cartridge%20valves/details/400aa00038a","400AA00038A")</f>
        <v>400AA00038A</v>
      </c>
      <c r="B2125" s="8" t="s">
        <v>2096</v>
      </c>
    </row>
    <row r="2126" spans="1:2" x14ac:dyDescent="0.3">
      <c r="A2126" s="5" t="str">
        <f>HYPERLINK("http://www.eatonpowersource.com/products/configure/screw-in%20cartridge%20valves/details/400aa00039a","400AA00039A")</f>
        <v>400AA00039A</v>
      </c>
      <c r="B2126" s="6" t="s">
        <v>2097</v>
      </c>
    </row>
    <row r="2127" spans="1:2" x14ac:dyDescent="0.3">
      <c r="A2127" s="7" t="str">
        <f>HYPERLINK("http://www.eatonpowersource.com/products/configure/screw-in%20cartridge%20valves/details/400aa00041a","400AA00041A")</f>
        <v>400AA00041A</v>
      </c>
      <c r="B2127" s="8" t="s">
        <v>2098</v>
      </c>
    </row>
    <row r="2128" spans="1:2" x14ac:dyDescent="0.3">
      <c r="A2128" s="5" t="str">
        <f>HYPERLINK("http://www.eatonpowersource.com/products/configure/screw-in%20cartridge%20valves/details/400aa00042a","400AA00042A")</f>
        <v>400AA00042A</v>
      </c>
      <c r="B2128" s="6" t="s">
        <v>2099</v>
      </c>
    </row>
    <row r="2129" spans="1:2" x14ac:dyDescent="0.3">
      <c r="A2129" s="7" t="str">
        <f>HYPERLINK("http://www.eatonpowersource.com/products/configure/screw-in%20cartridge%20valves/details/400aa00044a","400AA00044A")</f>
        <v>400AA00044A</v>
      </c>
      <c r="B2129" s="8" t="s">
        <v>2100</v>
      </c>
    </row>
    <row r="2130" spans="1:2" x14ac:dyDescent="0.3">
      <c r="A2130" s="5" t="str">
        <f>HYPERLINK("http://www.eatonpowersource.com/products/configure/screw-in%20cartridge%20valves/details/400aa00048a","400AA00048A")</f>
        <v>400AA00048A</v>
      </c>
      <c r="B2130" s="6" t="s">
        <v>2101</v>
      </c>
    </row>
    <row r="2131" spans="1:2" x14ac:dyDescent="0.3">
      <c r="A2131" s="7" t="str">
        <f>HYPERLINK("http://www.eatonpowersource.com/products/configure/screw-in%20cartridge%20valves/details/400aa00049a","400AA00049A")</f>
        <v>400AA00049A</v>
      </c>
      <c r="B2131" s="8" t="s">
        <v>2102</v>
      </c>
    </row>
    <row r="2132" spans="1:2" x14ac:dyDescent="0.3">
      <c r="A2132" s="5" t="str">
        <f>HYPERLINK("http://www.eatonpowersource.com/products/configure/screw-in%20cartridge%20valves/details/400aa00051a","400AA00051A")</f>
        <v>400AA00051A</v>
      </c>
      <c r="B2132" s="6" t="s">
        <v>2103</v>
      </c>
    </row>
    <row r="2133" spans="1:2" x14ac:dyDescent="0.3">
      <c r="A2133" s="7" t="str">
        <f>HYPERLINK("http://www.eatonpowersource.com/products/configure/screw-in%20cartridge%20valves/details/400aa00052a","400AA00052A")</f>
        <v>400AA00052A</v>
      </c>
      <c r="B2133" s="8" t="s">
        <v>2104</v>
      </c>
    </row>
    <row r="2134" spans="1:2" x14ac:dyDescent="0.3">
      <c r="A2134" s="5" t="str">
        <f>HYPERLINK("http://www.eatonpowersource.com/products/configure/screw-in%20cartridge%20valves/details/400aa00053a","400AA00053A")</f>
        <v>400AA00053A</v>
      </c>
      <c r="B2134" s="6" t="s">
        <v>2105</v>
      </c>
    </row>
    <row r="2135" spans="1:2" x14ac:dyDescent="0.3">
      <c r="A2135" s="7" t="str">
        <f>HYPERLINK("http://www.eatonpowersource.com/products/configure/screw-in%20cartridge%20valves/details/400aa00054a","400AA00054A")</f>
        <v>400AA00054A</v>
      </c>
      <c r="B2135" s="8" t="s">
        <v>2106</v>
      </c>
    </row>
    <row r="2136" spans="1:2" x14ac:dyDescent="0.3">
      <c r="A2136" s="5" t="str">
        <f>HYPERLINK("http://www.eatonpowersource.com/products/configure/screw-in%20cartridge%20valves/details/400aa00055a","400AA00055A")</f>
        <v>400AA00055A</v>
      </c>
      <c r="B2136" s="6" t="s">
        <v>2107</v>
      </c>
    </row>
    <row r="2137" spans="1:2" x14ac:dyDescent="0.3">
      <c r="A2137" s="7" t="str">
        <f>HYPERLINK("http://www.eatonpowersource.com/products/configure/screw-in%20cartridge%20valves/details/400aa00057a","400AA00057A")</f>
        <v>400AA00057A</v>
      </c>
      <c r="B2137" s="8" t="s">
        <v>2108</v>
      </c>
    </row>
    <row r="2138" spans="1:2" x14ac:dyDescent="0.3">
      <c r="A2138" s="5" t="str">
        <f>HYPERLINK("http://www.eatonpowersource.com/products/configure/screw-in%20cartridge%20valves/details/400aa00058a","400AA00058A")</f>
        <v>400AA00058A</v>
      </c>
      <c r="B2138" s="6" t="s">
        <v>2109</v>
      </c>
    </row>
    <row r="2139" spans="1:2" x14ac:dyDescent="0.3">
      <c r="A2139" s="7" t="str">
        <f>HYPERLINK("http://www.eatonpowersource.com/products/configure/screw-in%20cartridge%20valves/details/400aa00200a","400AA00200A")</f>
        <v>400AA00200A</v>
      </c>
      <c r="B2139" s="8" t="s">
        <v>2110</v>
      </c>
    </row>
    <row r="2140" spans="1:2" x14ac:dyDescent="0.3">
      <c r="A2140" s="5" t="str">
        <f>HYPERLINK("http://www.eatonpowersource.com/products/configure/screw-in%20cartridge%20valves/details/400aa00201a","400AA00201A")</f>
        <v>400AA00201A</v>
      </c>
      <c r="B2140" s="6" t="s">
        <v>2111</v>
      </c>
    </row>
    <row r="2141" spans="1:2" x14ac:dyDescent="0.3">
      <c r="A2141" s="7" t="str">
        <f>HYPERLINK("http://www.eatonpowersource.com/products/configure/screw-in%20cartridge%20valves/details/400aa00213a","400AA00213A")</f>
        <v>400AA00213A</v>
      </c>
      <c r="B2141" s="8" t="s">
        <v>2112</v>
      </c>
    </row>
    <row r="2142" spans="1:2" x14ac:dyDescent="0.3">
      <c r="A2142" s="5" t="str">
        <f>HYPERLINK("http://www.eatonpowersource.com/products/configure/screw-in%20cartridge%20valves/details/400aa00251a","400AA00251A")</f>
        <v>400AA00251A</v>
      </c>
      <c r="B2142" s="6" t="s">
        <v>2113</v>
      </c>
    </row>
    <row r="2143" spans="1:2" x14ac:dyDescent="0.3">
      <c r="A2143" s="7" t="str">
        <f>HYPERLINK("http://www.eatonpowersource.com/products/configure/screw-in%20cartridge%20valves/details/400aa00268a","400AA00268A")</f>
        <v>400AA00268A</v>
      </c>
      <c r="B2143" s="8" t="s">
        <v>2114</v>
      </c>
    </row>
    <row r="2144" spans="1:2" x14ac:dyDescent="0.3">
      <c r="A2144" s="5" t="str">
        <f>HYPERLINK("http://www.eatonpowersource.com/products/configure/screw-in%20cartridge%20valves/details/400aa00274a","400AA00274A")</f>
        <v>400AA00274A</v>
      </c>
      <c r="B2144" s="6" t="s">
        <v>2115</v>
      </c>
    </row>
    <row r="2145" spans="1:2" x14ac:dyDescent="0.3">
      <c r="A2145" s="7" t="str">
        <f>HYPERLINK("http://www.eatonpowersource.com/products/configure/screw-in%20cartridge%20valves/details/403aa00018a","403AA00018A")</f>
        <v>403AA00018A</v>
      </c>
      <c r="B2145" s="8" t="s">
        <v>2116</v>
      </c>
    </row>
    <row r="2146" spans="1:2" x14ac:dyDescent="0.3">
      <c r="A2146" s="5" t="str">
        <f>HYPERLINK("http://www.eatonpowersource.com/products/configure/screw-in%20cartridge%20valves/details/403aa00027a","403AA00027A")</f>
        <v>403AA00027A</v>
      </c>
      <c r="B2146" s="6" t="s">
        <v>2117</v>
      </c>
    </row>
    <row r="2147" spans="1:2" x14ac:dyDescent="0.3">
      <c r="A2147" s="7" t="str">
        <f>HYPERLINK("http://www.eatonpowersource.com/products/configure/screw-in%20cartridge%20valves/details/403aa00044a","403AA00044A")</f>
        <v>403AA00044A</v>
      </c>
      <c r="B2147" s="8" t="s">
        <v>2118</v>
      </c>
    </row>
    <row r="2148" spans="1:2" x14ac:dyDescent="0.3">
      <c r="A2148" s="5" t="str">
        <f>HYPERLINK("http://www.eatonpowersource.com/products/configure/screw-in%20cartridge%20valves/details/403aa00045a","403AA00045A")</f>
        <v>403AA00045A</v>
      </c>
      <c r="B2148" s="6" t="s">
        <v>2119</v>
      </c>
    </row>
    <row r="2149" spans="1:2" x14ac:dyDescent="0.3">
      <c r="A2149" s="7" t="str">
        <f>HYPERLINK("http://www.eatonpowersource.com/products/configure/screw-in%20cartridge%20valves/details/403aa00065a","403AA00065A")</f>
        <v>403AA00065A</v>
      </c>
      <c r="B2149" s="8" t="s">
        <v>2120</v>
      </c>
    </row>
    <row r="2150" spans="1:2" x14ac:dyDescent="0.3">
      <c r="A2150" s="5" t="str">
        <f>HYPERLINK("http://www.eatonpowersource.com/products/configure/screw-in%20cartridge%20valves/details/403aa00067a","403AA00067A")</f>
        <v>403AA00067A</v>
      </c>
      <c r="B2150" s="6" t="s">
        <v>2121</v>
      </c>
    </row>
    <row r="2151" spans="1:2" x14ac:dyDescent="0.3">
      <c r="A2151" s="7" t="str">
        <f>HYPERLINK("http://www.eatonpowersource.com/products/configure/screw-in%20cartridge%20valves/details/403aa00068a","403AA00068A")</f>
        <v>403AA00068A</v>
      </c>
      <c r="B2151" s="8" t="s">
        <v>2122</v>
      </c>
    </row>
    <row r="2152" spans="1:2" x14ac:dyDescent="0.3">
      <c r="A2152" s="5" t="str">
        <f>HYPERLINK("http://www.eatonpowersource.com/products/configure/screw-in%20cartridge%20valves/details/403aa00069a","403AA00069A")</f>
        <v>403AA00069A</v>
      </c>
      <c r="B2152" s="6" t="s">
        <v>2123</v>
      </c>
    </row>
    <row r="2153" spans="1:2" x14ac:dyDescent="0.3">
      <c r="A2153" s="7" t="str">
        <f>HYPERLINK("http://www.eatonpowersource.com/products/configure/screw-in%20cartridge%20valves/details/403aa00070a","403AA00070A")</f>
        <v>403AA00070A</v>
      </c>
      <c r="B2153" s="8" t="s">
        <v>2124</v>
      </c>
    </row>
    <row r="2154" spans="1:2" x14ac:dyDescent="0.3">
      <c r="A2154" s="5" t="str">
        <f>HYPERLINK("http://www.eatonpowersource.com/products/configure/screw-in%20cartridge%20valves/details/403aa00071a","403AA00071A")</f>
        <v>403AA00071A</v>
      </c>
      <c r="B2154" s="6" t="s">
        <v>2125</v>
      </c>
    </row>
    <row r="2155" spans="1:2" x14ac:dyDescent="0.3">
      <c r="A2155" s="7" t="str">
        <f>HYPERLINK("http://www.eatonpowersource.com/products/configure/screw-in%20cartridge%20valves/details/403aa00072a","403AA00072A")</f>
        <v>403AA00072A</v>
      </c>
      <c r="B2155" s="8" t="s">
        <v>2126</v>
      </c>
    </row>
    <row r="2156" spans="1:2" x14ac:dyDescent="0.3">
      <c r="A2156" s="5" t="str">
        <f>HYPERLINK("http://www.eatonpowersource.com/products/configure/screw-in%20cartridge%20valves/details/403aa00074a","403AA00074A")</f>
        <v>403AA00074A</v>
      </c>
      <c r="B2156" s="6" t="s">
        <v>2127</v>
      </c>
    </row>
    <row r="2157" spans="1:2" x14ac:dyDescent="0.3">
      <c r="A2157" s="7" t="str">
        <f>HYPERLINK("http://www.eatonpowersource.com/products/configure/screw-in%20cartridge%20valves/details/403aa00454a","403AA00454A")</f>
        <v>403AA00454A</v>
      </c>
      <c r="B2157" s="8" t="s">
        <v>2128</v>
      </c>
    </row>
    <row r="2158" spans="1:2" x14ac:dyDescent="0.3">
      <c r="A2158" s="5" t="str">
        <f>HYPERLINK("http://www.eatonpowersource.com/products/configure/screw-in%20cartridge%20valves/details/403aa00458a","403AA00458A")</f>
        <v>403AA00458A</v>
      </c>
      <c r="B2158" s="6" t="s">
        <v>2129</v>
      </c>
    </row>
    <row r="2159" spans="1:2" x14ac:dyDescent="0.3">
      <c r="A2159" s="7" t="str">
        <f>HYPERLINK("http://www.eatonpowersource.com/products/configure/screw-in%20cartridge%20valves/details/403aa00670a","403AA00670A")</f>
        <v>403AA00670A</v>
      </c>
      <c r="B2159" s="8" t="s">
        <v>2130</v>
      </c>
    </row>
    <row r="2160" spans="1:2" x14ac:dyDescent="0.3">
      <c r="A2160" s="5" t="str">
        <f>HYPERLINK("http://www.eatonpowersource.com/products/configure/screw-in%20cartridge%20valves/details/403aa00686a","403AA00686A")</f>
        <v>403AA00686A</v>
      </c>
      <c r="B2160" s="6" t="s">
        <v>2131</v>
      </c>
    </row>
    <row r="2161" spans="1:2" x14ac:dyDescent="0.3">
      <c r="A2161" s="7" t="str">
        <f>HYPERLINK("http://www.eatonpowersource.com/products/configure/screw-in%20cartridge%20valves/details/403aa00688a","403AA00688A")</f>
        <v>403AA00688A</v>
      </c>
      <c r="B2161" s="8" t="s">
        <v>2132</v>
      </c>
    </row>
    <row r="2162" spans="1:2" x14ac:dyDescent="0.3">
      <c r="A2162" s="5" t="str">
        <f>HYPERLINK("http://www.eatonpowersource.com/products/configure/screw-in%20cartridge%20valves/details/403aa00692a","403AA00692A")</f>
        <v>403AA00692A</v>
      </c>
      <c r="B2162" s="6" t="s">
        <v>2133</v>
      </c>
    </row>
    <row r="2163" spans="1:2" x14ac:dyDescent="0.3">
      <c r="A2163" s="7" t="str">
        <f>HYPERLINK("http://www.eatonpowersource.com/products/configure/screw-in%20cartridge%20valves/details/403aa00709a","403AA00709A")</f>
        <v>403AA00709A</v>
      </c>
      <c r="B2163" s="8" t="s">
        <v>2134</v>
      </c>
    </row>
    <row r="2164" spans="1:2" x14ac:dyDescent="0.3">
      <c r="A2164" s="5" t="str">
        <f>HYPERLINK("http://www.eatonpowersource.com/products/configure/screw-in%20cartridge%20valves/details/403aa00712a","403AA00712A")</f>
        <v>403AA00712A</v>
      </c>
      <c r="B2164" s="6" t="s">
        <v>2135</v>
      </c>
    </row>
    <row r="2165" spans="1:2" x14ac:dyDescent="0.3">
      <c r="A2165" s="7" t="str">
        <f>HYPERLINK("http://www.eatonpowersource.com/products/configure/screw-in%20cartridge%20valves/details/403aa00725a","403AA00725A")</f>
        <v>403AA00725A</v>
      </c>
      <c r="B2165" s="8" t="s">
        <v>2136</v>
      </c>
    </row>
    <row r="2166" spans="1:2" x14ac:dyDescent="0.3">
      <c r="A2166" s="5" t="str">
        <f>HYPERLINK("http://www.eatonpowersource.com/products/configure/screw-in%20cartridge%20valves/details/403aa00742a","403AA00742A")</f>
        <v>403AA00742A</v>
      </c>
      <c r="B2166" s="6" t="s">
        <v>2137</v>
      </c>
    </row>
    <row r="2167" spans="1:2" x14ac:dyDescent="0.3">
      <c r="A2167" s="7" t="str">
        <f>HYPERLINK("http://www.eatonpowersource.com/products/configure/screw-in%20cartridge%20valves/details/403aa01039a","403AA01039A")</f>
        <v>403AA01039A</v>
      </c>
      <c r="B2167" s="8" t="s">
        <v>2138</v>
      </c>
    </row>
    <row r="2168" spans="1:2" x14ac:dyDescent="0.3">
      <c r="A2168" s="5" t="str">
        <f>HYPERLINK("http://www.eatonpowersource.com/products/configure/screw-in%20cartridge%20valves/details/403aa01187a","403AA01187A")</f>
        <v>403AA01187A</v>
      </c>
      <c r="B2168" s="6" t="s">
        <v>2139</v>
      </c>
    </row>
    <row r="2169" spans="1:2" x14ac:dyDescent="0.3">
      <c r="A2169" s="7" t="str">
        <f>HYPERLINK("http://www.eatonpowersource.com/products/configure/screw-in%20cartridge%20valves/details/403aa01197a","403AA01197A")</f>
        <v>403AA01197A</v>
      </c>
      <c r="B2169" s="8" t="s">
        <v>2140</v>
      </c>
    </row>
    <row r="2170" spans="1:2" x14ac:dyDescent="0.3">
      <c r="A2170" s="5" t="str">
        <f>HYPERLINK("http://www.eatonpowersource.com/products/configure/screw-in%20cartridge%20valves/details/565534","565534")</f>
        <v>565534</v>
      </c>
      <c r="B2170" s="6" t="s">
        <v>2141</v>
      </c>
    </row>
    <row r="2171" spans="1:2" x14ac:dyDescent="0.3">
      <c r="A2171" s="7" t="str">
        <f>HYPERLINK("http://www.eatonpowersource.com/products/configure/screw-in%20cartridge%20valves/details/565536","565536")</f>
        <v>565536</v>
      </c>
      <c r="B2171" s="8" t="s">
        <v>2142</v>
      </c>
    </row>
    <row r="2172" spans="1:2" x14ac:dyDescent="0.3">
      <c r="A2172" s="5" t="str">
        <f>HYPERLINK("http://www.eatonpowersource.com/products/configure/screw-in%20cartridge%20valves/details/565537","565537")</f>
        <v>565537</v>
      </c>
      <c r="B2172" s="6" t="s">
        <v>2143</v>
      </c>
    </row>
    <row r="2173" spans="1:2" x14ac:dyDescent="0.3">
      <c r="A2173" s="7" t="str">
        <f>HYPERLINK("http://www.eatonpowersource.com/products/configure/screw-in%20cartridge%20valves/details/565538","565538")</f>
        <v>565538</v>
      </c>
      <c r="B2173" s="8" t="s">
        <v>2144</v>
      </c>
    </row>
    <row r="2174" spans="1:2" x14ac:dyDescent="0.3">
      <c r="A2174" s="5" t="str">
        <f>HYPERLINK("http://www.eatonpowersource.com/products/configure/screw-in%20cartridge%20valves/details/565539","565539")</f>
        <v>565539</v>
      </c>
      <c r="B2174" s="6" t="s">
        <v>2145</v>
      </c>
    </row>
    <row r="2175" spans="1:2" x14ac:dyDescent="0.3">
      <c r="A2175" s="7" t="str">
        <f>HYPERLINK("http://www.eatonpowersource.com/products/configure/screw-in%20cartridge%20valves/details/565541","565541")</f>
        <v>565541</v>
      </c>
      <c r="B2175" s="8" t="s">
        <v>2146</v>
      </c>
    </row>
    <row r="2176" spans="1:2" x14ac:dyDescent="0.3">
      <c r="A2176" s="5" t="str">
        <f>HYPERLINK("http://www.eatonpowersource.com/products/configure/screw-in%20cartridge%20valves/details/565542","565542")</f>
        <v>565542</v>
      </c>
      <c r="B2176" s="6" t="s">
        <v>2147</v>
      </c>
    </row>
    <row r="2177" spans="1:2" x14ac:dyDescent="0.3">
      <c r="A2177" s="7" t="str">
        <f>HYPERLINK("http://www.eatonpowersource.com/products/configure/screw-in%20cartridge%20valves/details/565543","565543")</f>
        <v>565543</v>
      </c>
      <c r="B2177" s="8" t="s">
        <v>2148</v>
      </c>
    </row>
    <row r="2178" spans="1:2" x14ac:dyDescent="0.3">
      <c r="A2178" s="5" t="str">
        <f>HYPERLINK("http://www.eatonpowersource.com/products/configure/screw-in%20cartridge%20valves/details/565544","565544")</f>
        <v>565544</v>
      </c>
      <c r="B2178" s="6" t="s">
        <v>2149</v>
      </c>
    </row>
    <row r="2179" spans="1:2" x14ac:dyDescent="0.3">
      <c r="A2179" s="7" t="str">
        <f>HYPERLINK("http://www.eatonpowersource.com/products/configure/screw-in%20cartridge%20valves/details/565545","565545")</f>
        <v>565545</v>
      </c>
      <c r="B2179" s="8" t="s">
        <v>2150</v>
      </c>
    </row>
    <row r="2180" spans="1:2" x14ac:dyDescent="0.3">
      <c r="A2180" s="5" t="str">
        <f>HYPERLINK("http://www.eatonpowersource.com/products/configure/screw-in%20cartridge%20valves/details/565546","565546")</f>
        <v>565546</v>
      </c>
      <c r="B2180" s="6" t="s">
        <v>2151</v>
      </c>
    </row>
    <row r="2181" spans="1:2" x14ac:dyDescent="0.3">
      <c r="A2181" s="7" t="str">
        <f>HYPERLINK("http://www.eatonpowersource.com/products/configure/screw-in%20cartridge%20valves/details/565547","565547")</f>
        <v>565547</v>
      </c>
      <c r="B2181" s="8" t="s">
        <v>2152</v>
      </c>
    </row>
    <row r="2182" spans="1:2" x14ac:dyDescent="0.3">
      <c r="A2182" s="5" t="str">
        <f>HYPERLINK("http://www.eatonpowersource.com/products/configure/screw-in%20cartridge%20valves/details/565548","565548")</f>
        <v>565548</v>
      </c>
      <c r="B2182" s="6" t="s">
        <v>2153</v>
      </c>
    </row>
    <row r="2183" spans="1:2" x14ac:dyDescent="0.3">
      <c r="A2183" s="7" t="str">
        <f>HYPERLINK("http://www.eatonpowersource.com/products/configure/screw-in%20cartridge%20valves/details/565563","565563")</f>
        <v>565563</v>
      </c>
      <c r="B2183" s="8" t="s">
        <v>2154</v>
      </c>
    </row>
    <row r="2184" spans="1:2" x14ac:dyDescent="0.3">
      <c r="A2184" s="5" t="str">
        <f>HYPERLINK("http://www.eatonpowersource.com/products/configure/screw-in%20cartridge%20valves/details/565723","565723")</f>
        <v>565723</v>
      </c>
      <c r="B2184" s="6" t="s">
        <v>2155</v>
      </c>
    </row>
    <row r="2185" spans="1:2" x14ac:dyDescent="0.3">
      <c r="A2185" s="7" t="str">
        <f>HYPERLINK("http://www.eatonpowersource.com/products/configure/screw-in%20cartridge%20valves/details/566307","566307")</f>
        <v>566307</v>
      </c>
      <c r="B2185" s="8" t="s">
        <v>2156</v>
      </c>
    </row>
    <row r="2186" spans="1:2" x14ac:dyDescent="0.3">
      <c r="A2186" s="5" t="str">
        <f>HYPERLINK("http://www.eatonpowersource.com/products/configure/screw-in%20cartridge%20valves/details/566388","566388")</f>
        <v>566388</v>
      </c>
      <c r="B2186" s="6" t="s">
        <v>2157</v>
      </c>
    </row>
    <row r="2187" spans="1:2" x14ac:dyDescent="0.3">
      <c r="A2187" s="7" t="str">
        <f>HYPERLINK("http://www.eatonpowersource.com/products/configure/screw-in%20cartridge%20valves/details/566405","566405")</f>
        <v>566405</v>
      </c>
      <c r="B2187" s="8" t="s">
        <v>2158</v>
      </c>
    </row>
    <row r="2188" spans="1:2" x14ac:dyDescent="0.3">
      <c r="A2188" s="5" t="str">
        <f>HYPERLINK("http://www.eatonpowersource.com/products/configure/screw-in%20cartridge%20valves/details/566540","566540")</f>
        <v>566540</v>
      </c>
      <c r="B2188" s="6" t="s">
        <v>2159</v>
      </c>
    </row>
    <row r="2189" spans="1:2" x14ac:dyDescent="0.3">
      <c r="A2189" s="7" t="str">
        <f>HYPERLINK("http://www.eatonpowersource.com/products/configure/screw-in%20cartridge%20valves/details/566632","566632")</f>
        <v>566632</v>
      </c>
      <c r="B2189" s="8" t="s">
        <v>2160</v>
      </c>
    </row>
    <row r="2190" spans="1:2" x14ac:dyDescent="0.3">
      <c r="A2190" s="5" t="str">
        <f>HYPERLINK("http://www.eatonpowersource.com/products/configure/screw-in%20cartridge%20valves/details/566719","566719")</f>
        <v>566719</v>
      </c>
      <c r="B2190" s="6" t="s">
        <v>2161</v>
      </c>
    </row>
    <row r="2191" spans="1:2" x14ac:dyDescent="0.3">
      <c r="A2191" s="7" t="str">
        <f>HYPERLINK("http://www.eatonpowersource.com/products/configure/screw-in%20cartridge%20valves/details/6034442-002","6034442-002")</f>
        <v>6034442-002</v>
      </c>
      <c r="B2191" s="8" t="s">
        <v>2162</v>
      </c>
    </row>
    <row r="2192" spans="1:2" x14ac:dyDescent="0.3">
      <c r="A2192" s="5" t="str">
        <f>HYPERLINK("http://www.eatonpowersource.com/products/configure/screw-in%20cartridge%20valves/details/888832","888832")</f>
        <v>888832</v>
      </c>
      <c r="B2192" s="6" t="s">
        <v>2163</v>
      </c>
    </row>
    <row r="2193" spans="1:2" x14ac:dyDescent="0.3">
      <c r="A2193" s="7" t="str">
        <f>HYPERLINK("http://www.eatonpowersource.com/products/configure/screw-in%20cartridge%20valves/details/888840","888840")</f>
        <v>888840</v>
      </c>
      <c r="B2193" s="8" t="s">
        <v>2164</v>
      </c>
    </row>
    <row r="2194" spans="1:2" x14ac:dyDescent="0.3">
      <c r="A2194" s="5" t="str">
        <f>HYPERLINK("http://www.eatonpowersource.com/products/configure/screw-in%20cartridge%20valves/details/889666","889666")</f>
        <v>889666</v>
      </c>
      <c r="B2194" s="6" t="s">
        <v>2165</v>
      </c>
    </row>
    <row r="2195" spans="1:2" x14ac:dyDescent="0.3">
      <c r="A2195" s="7" t="str">
        <f>HYPERLINK("http://www.eatonpowersource.com/products/configure/screw-in%20cartridge%20valves/details/889682","889682")</f>
        <v>889682</v>
      </c>
      <c r="B2195" s="8" t="s">
        <v>2166</v>
      </c>
    </row>
    <row r="2196" spans="1:2" x14ac:dyDescent="0.3">
      <c r="A2196" s="5" t="str">
        <f>HYPERLINK("http://www.eatonpowersource.com/products/configure/screw-in%20cartridge%20valves/details/889686","889686")</f>
        <v>889686</v>
      </c>
      <c r="B2196" s="6" t="s">
        <v>2167</v>
      </c>
    </row>
    <row r="2197" spans="1:2" x14ac:dyDescent="0.3">
      <c r="A2197" s="7" t="str">
        <f>HYPERLINK("http://www.eatonpowersource.com/products/configure/screw-in%20cartridge%20valves/details/axp14116","AXP14116")</f>
        <v>AXP14116</v>
      </c>
      <c r="B2197" s="8" t="s">
        <v>2168</v>
      </c>
    </row>
    <row r="2198" spans="1:2" x14ac:dyDescent="0.3">
      <c r="A2198" s="5" t="str">
        <f>HYPERLINK("http://www.eatonpowersource.com/products/configure/screw-in%20cartridge%20valves/details/axp9997-115","AXP9997-115")</f>
        <v>AXP9997-115</v>
      </c>
      <c r="B2198" s="6" t="s">
        <v>2169</v>
      </c>
    </row>
    <row r="2199" spans="1:2" x14ac:dyDescent="0.3">
      <c r="A2199" s="7" t="str">
        <f>HYPERLINK("http://www.eatonpowersource.com/products/configure/screw-in%20cartridge%20valves/details/400aa00030a","400AA00030A")</f>
        <v>400AA00030A</v>
      </c>
      <c r="B2199" s="8" t="s">
        <v>2170</v>
      </c>
    </row>
    <row r="2200" spans="1:2" x14ac:dyDescent="0.3">
      <c r="A2200" s="5" t="str">
        <f>HYPERLINK("http://www.eatonpowersource.com/products/configure/screw-in%20cartridge%20valves/details/400aa00046a","400AA00046A")</f>
        <v>400AA00046A</v>
      </c>
      <c r="B2200" s="6" t="s">
        <v>2171</v>
      </c>
    </row>
    <row r="2201" spans="1:2" x14ac:dyDescent="0.3">
      <c r="A2201" s="7" t="str">
        <f>HYPERLINK("http://www.eatonpowersource.com/products/configure/screw-in%20cartridge%20valves/details/400aa00047a","400AA00047A")</f>
        <v>400AA00047A</v>
      </c>
      <c r="B2201" s="8" t="s">
        <v>2172</v>
      </c>
    </row>
    <row r="2202" spans="1:2" x14ac:dyDescent="0.3">
      <c r="A2202" s="5" t="str">
        <f>HYPERLINK("http://www.eatonpowersource.com/products/configure/screw-in%20cartridge%20valves/details/400aa00202a","400AA00202A")</f>
        <v>400AA00202A</v>
      </c>
      <c r="B2202" s="6" t="s">
        <v>2173</v>
      </c>
    </row>
    <row r="2203" spans="1:2" x14ac:dyDescent="0.3">
      <c r="A2203" s="7" t="str">
        <f>HYPERLINK("http://www.eatonpowersource.com/products/configure/screw-in%20cartridge%20valves/details/400aa00205a","400AA00205A")</f>
        <v>400AA00205A</v>
      </c>
      <c r="B2203" s="8" t="s">
        <v>2174</v>
      </c>
    </row>
    <row r="2204" spans="1:2" x14ac:dyDescent="0.3">
      <c r="A2204" s="5" t="str">
        <f>HYPERLINK("http://www.eatonpowersource.com/products/configure/screw-in%20cartridge%20valves/details/400aa00246a","400AA00246A")</f>
        <v>400AA00246A</v>
      </c>
      <c r="B2204" s="6" t="s">
        <v>2175</v>
      </c>
    </row>
    <row r="2205" spans="1:2" x14ac:dyDescent="0.3">
      <c r="A2205" s="7" t="str">
        <f>HYPERLINK("http://www.eatonpowersource.com/products/configure/screw-in%20cartridge%20valves/details/400aa00265a","400AA00265A")</f>
        <v>400AA00265A</v>
      </c>
      <c r="B2205" s="8" t="s">
        <v>2176</v>
      </c>
    </row>
    <row r="2206" spans="1:2" x14ac:dyDescent="0.3">
      <c r="A2206" s="5" t="str">
        <f>HYPERLINK("http://www.eatonpowersource.com/products/configure/screw-in%20cartridge%20valves/details/403aa01118a","403AA01118A")</f>
        <v>403AA01118A</v>
      </c>
      <c r="B2206" s="6" t="s">
        <v>2177</v>
      </c>
    </row>
    <row r="2207" spans="1:2" x14ac:dyDescent="0.3">
      <c r="A2207" s="7" t="str">
        <f>HYPERLINK("http://www.eatonpowersource.com/products/configure/screw-in%20cartridge%20valves/details/02-180581","02-180581")</f>
        <v>02-180581</v>
      </c>
      <c r="B2207" s="8" t="s">
        <v>2178</v>
      </c>
    </row>
    <row r="2208" spans="1:2" x14ac:dyDescent="0.3">
      <c r="A2208" s="5" t="str">
        <f>HYPERLINK("http://www.eatonpowersource.com/products/configure/screw-in%20cartridge%20valves/details/403aa00001a","403AA00001A")</f>
        <v>403AA00001A</v>
      </c>
      <c r="B2208" s="6" t="s">
        <v>2179</v>
      </c>
    </row>
    <row r="2209" spans="1:2" x14ac:dyDescent="0.3">
      <c r="A2209" s="7" t="str">
        <f>HYPERLINK("http://www.eatonpowersource.com/products/configure/screw-in%20cartridge%20valves/details/403aa00002a","403AA00002A")</f>
        <v>403AA00002A</v>
      </c>
      <c r="B2209" s="8" t="s">
        <v>2180</v>
      </c>
    </row>
    <row r="2210" spans="1:2" x14ac:dyDescent="0.3">
      <c r="A2210" s="5" t="str">
        <f>HYPERLINK("http://www.eatonpowersource.com/products/configure/screw-in%20cartridge%20valves/details/403aa00003a","403AA00003A")</f>
        <v>403AA00003A</v>
      </c>
      <c r="B2210" s="6" t="s">
        <v>2181</v>
      </c>
    </row>
    <row r="2211" spans="1:2" x14ac:dyDescent="0.3">
      <c r="A2211" s="7" t="str">
        <f>HYPERLINK("http://www.eatonpowersource.com/products/configure/screw-in%20cartridge%20valves/details/403aa00004a","403AA00004A")</f>
        <v>403AA00004A</v>
      </c>
      <c r="B2211" s="8" t="s">
        <v>2182</v>
      </c>
    </row>
    <row r="2212" spans="1:2" x14ac:dyDescent="0.3">
      <c r="A2212" s="5" t="str">
        <f>HYPERLINK("http://www.eatonpowersource.com/products/configure/screw-in%20cartridge%20valves/details/403aa00009a","403AA00009A")</f>
        <v>403AA00009A</v>
      </c>
      <c r="B2212" s="6" t="s">
        <v>2183</v>
      </c>
    </row>
    <row r="2213" spans="1:2" x14ac:dyDescent="0.3">
      <c r="A2213" s="7" t="str">
        <f>HYPERLINK("http://www.eatonpowersource.com/products/configure/screw-in%20cartridge%20valves/details/403aa00010a","403AA00010A")</f>
        <v>403AA00010A</v>
      </c>
      <c r="B2213" s="8" t="s">
        <v>2184</v>
      </c>
    </row>
    <row r="2214" spans="1:2" x14ac:dyDescent="0.3">
      <c r="A2214" s="5" t="str">
        <f>HYPERLINK("http://www.eatonpowersource.com/products/configure/screw-in%20cartridge%20valves/details/403aa00011a","403AA00011A")</f>
        <v>403AA00011A</v>
      </c>
      <c r="B2214" s="6" t="s">
        <v>2185</v>
      </c>
    </row>
    <row r="2215" spans="1:2" x14ac:dyDescent="0.3">
      <c r="A2215" s="7" t="str">
        <f>HYPERLINK("http://www.eatonpowersource.com/products/configure/screw-in%20cartridge%20valves/details/403aa00012a","403AA00012A")</f>
        <v>403AA00012A</v>
      </c>
      <c r="B2215" s="8" t="s">
        <v>2186</v>
      </c>
    </row>
    <row r="2216" spans="1:2" x14ac:dyDescent="0.3">
      <c r="A2216" s="5" t="str">
        <f>HYPERLINK("http://www.eatonpowersource.com/products/configure/screw-in%20cartridge%20valves/details/403aa00015a","403AA00015A")</f>
        <v>403AA00015A</v>
      </c>
      <c r="B2216" s="6" t="s">
        <v>2187</v>
      </c>
    </row>
    <row r="2217" spans="1:2" x14ac:dyDescent="0.3">
      <c r="A2217" s="7" t="str">
        <f>HYPERLINK("http://www.eatonpowersource.com/products/configure/screw-in%20cartridge%20valves/details/403aa00016a","403AA00016A")</f>
        <v>403AA00016A</v>
      </c>
      <c r="B2217" s="8" t="s">
        <v>2188</v>
      </c>
    </row>
    <row r="2218" spans="1:2" x14ac:dyDescent="0.3">
      <c r="A2218" s="5" t="str">
        <f>HYPERLINK("http://www.eatonpowersource.com/products/configure/screw-in%20cartridge%20valves/details/403aa00021a","403AA00021A")</f>
        <v>403AA00021A</v>
      </c>
      <c r="B2218" s="6" t="s">
        <v>2189</v>
      </c>
    </row>
    <row r="2219" spans="1:2" x14ac:dyDescent="0.3">
      <c r="A2219" s="7" t="str">
        <f>HYPERLINK("http://www.eatonpowersource.com/products/configure/screw-in%20cartridge%20valves/details/403aa00024a","403AA00024A")</f>
        <v>403AA00024A</v>
      </c>
      <c r="B2219" s="8" t="s">
        <v>2190</v>
      </c>
    </row>
    <row r="2220" spans="1:2" x14ac:dyDescent="0.3">
      <c r="A2220" s="5" t="str">
        <f>HYPERLINK("http://www.eatonpowersource.com/products/configure/screw-in%20cartridge%20valves/details/403aa00025a","403AA00025A")</f>
        <v>403AA00025A</v>
      </c>
      <c r="B2220" s="6" t="s">
        <v>2191</v>
      </c>
    </row>
    <row r="2221" spans="1:2" x14ac:dyDescent="0.3">
      <c r="A2221" s="7" t="str">
        <f>HYPERLINK("http://www.eatonpowersource.com/products/configure/screw-in%20cartridge%20valves/details/403aa00030a","403AA00030A")</f>
        <v>403AA00030A</v>
      </c>
      <c r="B2221" s="8" t="s">
        <v>2192</v>
      </c>
    </row>
    <row r="2222" spans="1:2" x14ac:dyDescent="0.3">
      <c r="A2222" s="5" t="str">
        <f>HYPERLINK("http://www.eatonpowersource.com/products/configure/screw-in%20cartridge%20valves/details/403aa00031a","403AA00031A")</f>
        <v>403AA00031A</v>
      </c>
      <c r="B2222" s="6" t="s">
        <v>2193</v>
      </c>
    </row>
    <row r="2223" spans="1:2" x14ac:dyDescent="0.3">
      <c r="A2223" s="7" t="str">
        <f>HYPERLINK("http://www.eatonpowersource.com/products/configure/screw-in%20cartridge%20valves/details/403aa00033a","403AA00033A")</f>
        <v>403AA00033A</v>
      </c>
      <c r="B2223" s="8" t="s">
        <v>2194</v>
      </c>
    </row>
    <row r="2224" spans="1:2" x14ac:dyDescent="0.3">
      <c r="A2224" s="5" t="str">
        <f>HYPERLINK("http://www.eatonpowersource.com/products/configure/screw-in%20cartridge%20valves/details/403aa00034a","403AA00034A")</f>
        <v>403AA00034A</v>
      </c>
      <c r="B2224" s="6" t="s">
        <v>2195</v>
      </c>
    </row>
    <row r="2225" spans="1:2" x14ac:dyDescent="0.3">
      <c r="A2225" s="7" t="str">
        <f>HYPERLINK("http://www.eatonpowersource.com/products/configure/screw-in%20cartridge%20valves/details/403aa00037a","403AA00037A")</f>
        <v>403AA00037A</v>
      </c>
      <c r="B2225" s="8" t="s">
        <v>2196</v>
      </c>
    </row>
    <row r="2226" spans="1:2" x14ac:dyDescent="0.3">
      <c r="A2226" s="5" t="str">
        <f>HYPERLINK("http://www.eatonpowersource.com/products/configure/screw-in%20cartridge%20valves/details/403aa00038a","403AA00038A")</f>
        <v>403AA00038A</v>
      </c>
      <c r="B2226" s="6" t="s">
        <v>2197</v>
      </c>
    </row>
    <row r="2227" spans="1:2" x14ac:dyDescent="0.3">
      <c r="A2227" s="7" t="str">
        <f>HYPERLINK("http://www.eatonpowersource.com/products/configure/screw-in%20cartridge%20valves/details/403aa00039a","403AA00039A")</f>
        <v>403AA00039A</v>
      </c>
      <c r="B2227" s="8" t="s">
        <v>2198</v>
      </c>
    </row>
    <row r="2228" spans="1:2" x14ac:dyDescent="0.3">
      <c r="A2228" s="5" t="str">
        <f>HYPERLINK("http://www.eatonpowersource.com/products/configure/screw-in%20cartridge%20valves/details/403aa00041a","403AA00041A")</f>
        <v>403AA00041A</v>
      </c>
      <c r="B2228" s="6" t="s">
        <v>2199</v>
      </c>
    </row>
    <row r="2229" spans="1:2" x14ac:dyDescent="0.3">
      <c r="A2229" s="7" t="str">
        <f>HYPERLINK("http://www.eatonpowersource.com/products/configure/screw-in%20cartridge%20valves/details/403aa00048a","403AA00048A")</f>
        <v>403AA00048A</v>
      </c>
      <c r="B2229" s="8" t="s">
        <v>2200</v>
      </c>
    </row>
    <row r="2230" spans="1:2" x14ac:dyDescent="0.3">
      <c r="A2230" s="5" t="str">
        <f>HYPERLINK("http://www.eatonpowersource.com/products/configure/screw-in%20cartridge%20valves/details/403aa00050a","403AA00050A")</f>
        <v>403AA00050A</v>
      </c>
      <c r="B2230" s="6" t="s">
        <v>2201</v>
      </c>
    </row>
    <row r="2231" spans="1:2" x14ac:dyDescent="0.3">
      <c r="A2231" s="7" t="str">
        <f>HYPERLINK("http://www.eatonpowersource.com/products/configure/screw-in%20cartridge%20valves/details/403aa00053a","403AA00053A")</f>
        <v>403AA00053A</v>
      </c>
      <c r="B2231" s="8" t="s">
        <v>2202</v>
      </c>
    </row>
    <row r="2232" spans="1:2" x14ac:dyDescent="0.3">
      <c r="A2232" s="5" t="str">
        <f>HYPERLINK("http://www.eatonpowersource.com/products/configure/screw-in%20cartridge%20valves/details/403aa00054a","403AA00054A")</f>
        <v>403AA00054A</v>
      </c>
      <c r="B2232" s="6" t="s">
        <v>2203</v>
      </c>
    </row>
    <row r="2233" spans="1:2" x14ac:dyDescent="0.3">
      <c r="A2233" s="7" t="str">
        <f>HYPERLINK("http://www.eatonpowersource.com/products/configure/screw-in%20cartridge%20valves/details/403aa00055a","403AA00055A")</f>
        <v>403AA00055A</v>
      </c>
      <c r="B2233" s="8" t="s">
        <v>2204</v>
      </c>
    </row>
    <row r="2234" spans="1:2" x14ac:dyDescent="0.3">
      <c r="A2234" s="5" t="str">
        <f>HYPERLINK("http://www.eatonpowersource.com/products/configure/screw-in%20cartridge%20valves/details/403aa00056a","403AA00056A")</f>
        <v>403AA00056A</v>
      </c>
      <c r="B2234" s="6" t="s">
        <v>2205</v>
      </c>
    </row>
    <row r="2235" spans="1:2" x14ac:dyDescent="0.3">
      <c r="A2235" s="7" t="str">
        <f>HYPERLINK("http://www.eatonpowersource.com/products/configure/screw-in%20cartridge%20valves/details/403aa00058a","403AA00058A")</f>
        <v>403AA00058A</v>
      </c>
      <c r="B2235" s="8" t="s">
        <v>2206</v>
      </c>
    </row>
    <row r="2236" spans="1:2" x14ac:dyDescent="0.3">
      <c r="A2236" s="5" t="str">
        <f>HYPERLINK("http://www.eatonpowersource.com/products/configure/screw-in%20cartridge%20valves/details/403aa00059a","403AA00059A")</f>
        <v>403AA00059A</v>
      </c>
      <c r="B2236" s="6" t="s">
        <v>2207</v>
      </c>
    </row>
    <row r="2237" spans="1:2" x14ac:dyDescent="0.3">
      <c r="A2237" s="7" t="str">
        <f>HYPERLINK("http://www.eatonpowersource.com/products/configure/screw-in%20cartridge%20valves/details/403aa00061a","403AA00061A")</f>
        <v>403AA00061A</v>
      </c>
      <c r="B2237" s="8" t="s">
        <v>2208</v>
      </c>
    </row>
    <row r="2238" spans="1:2" x14ac:dyDescent="0.3">
      <c r="A2238" s="5" t="str">
        <f>HYPERLINK("http://www.eatonpowersource.com/products/configure/screw-in%20cartridge%20valves/details/403aa00062a","403AA00062A")</f>
        <v>403AA00062A</v>
      </c>
      <c r="B2238" s="6" t="s">
        <v>2209</v>
      </c>
    </row>
    <row r="2239" spans="1:2" x14ac:dyDescent="0.3">
      <c r="A2239" s="7" t="str">
        <f>HYPERLINK("http://www.eatonpowersource.com/products/configure/screw-in%20cartridge%20valves/details/403aa00063a","403AA00063A")</f>
        <v>403AA00063A</v>
      </c>
      <c r="B2239" s="8" t="s">
        <v>2210</v>
      </c>
    </row>
    <row r="2240" spans="1:2" x14ac:dyDescent="0.3">
      <c r="A2240" s="5" t="str">
        <f>HYPERLINK("http://www.eatonpowersource.com/products/configure/screw-in%20cartridge%20valves/details/403aa00064a","403AA00064A")</f>
        <v>403AA00064A</v>
      </c>
      <c r="B2240" s="6" t="s">
        <v>2211</v>
      </c>
    </row>
    <row r="2241" spans="1:2" x14ac:dyDescent="0.3">
      <c r="A2241" s="7" t="str">
        <f>HYPERLINK("http://www.eatonpowersource.com/products/configure/screw-in%20cartridge%20valves/details/403aa00078a","403AA00078A")</f>
        <v>403AA00078A</v>
      </c>
      <c r="B2241" s="8" t="s">
        <v>2212</v>
      </c>
    </row>
    <row r="2242" spans="1:2" x14ac:dyDescent="0.3">
      <c r="A2242" s="5" t="str">
        <f>HYPERLINK("http://www.eatonpowersource.com/products/configure/screw-in%20cartridge%20valves/details/403aa00079a","403AA00079A")</f>
        <v>403AA00079A</v>
      </c>
      <c r="B2242" s="6" t="s">
        <v>2213</v>
      </c>
    </row>
    <row r="2243" spans="1:2" x14ac:dyDescent="0.3">
      <c r="A2243" s="7" t="str">
        <f>HYPERLINK("http://www.eatonpowersource.com/products/configure/screw-in%20cartridge%20valves/details/403aa00080a","403AA00080A")</f>
        <v>403AA00080A</v>
      </c>
      <c r="B2243" s="8" t="s">
        <v>2214</v>
      </c>
    </row>
    <row r="2244" spans="1:2" x14ac:dyDescent="0.3">
      <c r="A2244" s="5" t="str">
        <f>HYPERLINK("http://www.eatonpowersource.com/products/configure/screw-in%20cartridge%20valves/details/403aa00081a","403AA00081A")</f>
        <v>403AA00081A</v>
      </c>
      <c r="B2244" s="6" t="s">
        <v>2215</v>
      </c>
    </row>
    <row r="2245" spans="1:2" x14ac:dyDescent="0.3">
      <c r="A2245" s="7" t="str">
        <f>HYPERLINK("http://www.eatonpowersource.com/products/configure/screw-in%20cartridge%20valves/details/403aa00082a","403AA00082A")</f>
        <v>403AA00082A</v>
      </c>
      <c r="B2245" s="8" t="s">
        <v>2216</v>
      </c>
    </row>
    <row r="2246" spans="1:2" x14ac:dyDescent="0.3">
      <c r="A2246" s="5" t="str">
        <f>HYPERLINK("http://www.eatonpowersource.com/products/configure/screw-in%20cartridge%20valves/details/403aa00083a","403AA00083A")</f>
        <v>403AA00083A</v>
      </c>
      <c r="B2246" s="6" t="s">
        <v>2217</v>
      </c>
    </row>
    <row r="2247" spans="1:2" x14ac:dyDescent="0.3">
      <c r="A2247" s="7" t="str">
        <f>HYPERLINK("http://www.eatonpowersource.com/products/configure/screw-in%20cartridge%20valves/details/403aa00136a","403AA00136A")</f>
        <v>403AA00136A</v>
      </c>
      <c r="B2247" s="8" t="s">
        <v>2218</v>
      </c>
    </row>
    <row r="2248" spans="1:2" x14ac:dyDescent="0.3">
      <c r="A2248" s="5" t="str">
        <f>HYPERLINK("http://www.eatonpowersource.com/products/configure/screw-in%20cartridge%20valves/details/403aa00235a","403AA00235A")</f>
        <v>403AA00235A</v>
      </c>
      <c r="B2248" s="6" t="s">
        <v>2219</v>
      </c>
    </row>
    <row r="2249" spans="1:2" x14ac:dyDescent="0.3">
      <c r="A2249" s="7" t="str">
        <f>HYPERLINK("http://www.eatonpowersource.com/products/configure/screw-in%20cartridge%20valves/details/403aa00236a","403AA00236A")</f>
        <v>403AA00236A</v>
      </c>
      <c r="B2249" s="8" t="s">
        <v>2220</v>
      </c>
    </row>
    <row r="2250" spans="1:2" x14ac:dyDescent="0.3">
      <c r="A2250" s="5" t="str">
        <f>HYPERLINK("http://www.eatonpowersource.com/products/configure/screw-in%20cartridge%20valves/details/403aa00240a","403AA00240A")</f>
        <v>403AA00240A</v>
      </c>
      <c r="B2250" s="6" t="s">
        <v>2221</v>
      </c>
    </row>
    <row r="2251" spans="1:2" x14ac:dyDescent="0.3">
      <c r="A2251" s="7" t="str">
        <f>HYPERLINK("http://www.eatonpowersource.com/products/configure/screw-in%20cartridge%20valves/details/403aa00243a","403AA00243A")</f>
        <v>403AA00243A</v>
      </c>
      <c r="B2251" s="8" t="s">
        <v>2222</v>
      </c>
    </row>
    <row r="2252" spans="1:2" x14ac:dyDescent="0.3">
      <c r="A2252" s="5" t="str">
        <f>HYPERLINK("http://www.eatonpowersource.com/products/configure/screw-in%20cartridge%20valves/details/403aa00257a","403AA00257A")</f>
        <v>403AA00257A</v>
      </c>
      <c r="B2252" s="6" t="s">
        <v>2223</v>
      </c>
    </row>
    <row r="2253" spans="1:2" x14ac:dyDescent="0.3">
      <c r="A2253" s="7" t="str">
        <f>HYPERLINK("http://www.eatonpowersource.com/products/configure/screw-in%20cartridge%20valves/details/403aa00268a","403AA00268A")</f>
        <v>403AA00268A</v>
      </c>
      <c r="B2253" s="8" t="s">
        <v>2224</v>
      </c>
    </row>
    <row r="2254" spans="1:2" x14ac:dyDescent="0.3">
      <c r="A2254" s="5" t="str">
        <f>HYPERLINK("http://www.eatonpowersource.com/products/configure/screw-in%20cartridge%20valves/details/403aa00272a","403AA00272A")</f>
        <v>403AA00272A</v>
      </c>
      <c r="B2254" s="6" t="s">
        <v>2225</v>
      </c>
    </row>
    <row r="2255" spans="1:2" x14ac:dyDescent="0.3">
      <c r="A2255" s="7" t="str">
        <f>HYPERLINK("http://www.eatonpowersource.com/products/configure/screw-in%20cartridge%20valves/details/403aa00283a","403AA00283A")</f>
        <v>403AA00283A</v>
      </c>
      <c r="B2255" s="8" t="s">
        <v>2226</v>
      </c>
    </row>
    <row r="2256" spans="1:2" x14ac:dyDescent="0.3">
      <c r="A2256" s="5" t="str">
        <f>HYPERLINK("http://www.eatonpowersource.com/products/configure/screw-in%20cartridge%20valves/details/403aa00310a","403AA00310A")</f>
        <v>403AA00310A</v>
      </c>
      <c r="B2256" s="6" t="s">
        <v>2227</v>
      </c>
    </row>
    <row r="2257" spans="1:2" x14ac:dyDescent="0.3">
      <c r="A2257" s="7" t="str">
        <f>HYPERLINK("http://www.eatonpowersource.com/products/configure/screw-in%20cartridge%20valves/details/403aa00336a","403AA00336A")</f>
        <v>403AA00336A</v>
      </c>
      <c r="B2257" s="8" t="s">
        <v>2228</v>
      </c>
    </row>
    <row r="2258" spans="1:2" x14ac:dyDescent="0.3">
      <c r="A2258" s="5" t="str">
        <f>HYPERLINK("http://www.eatonpowersource.com/products/configure/screw-in%20cartridge%20valves/details/403aa00347a","403AA00347A")</f>
        <v>403AA00347A</v>
      </c>
      <c r="B2258" s="6" t="s">
        <v>2229</v>
      </c>
    </row>
    <row r="2259" spans="1:2" x14ac:dyDescent="0.3">
      <c r="A2259" s="7" t="str">
        <f>HYPERLINK("http://www.eatonpowersource.com/products/configure/screw-in%20cartridge%20valves/details/403aa00355a","403AA00355A")</f>
        <v>403AA00355A</v>
      </c>
      <c r="B2259" s="8" t="s">
        <v>2230</v>
      </c>
    </row>
    <row r="2260" spans="1:2" x14ac:dyDescent="0.3">
      <c r="A2260" s="5" t="str">
        <f>HYPERLINK("http://www.eatonpowersource.com/products/configure/screw-in%20cartridge%20valves/details/403aa00382a","403AA00382A")</f>
        <v>403AA00382A</v>
      </c>
      <c r="B2260" s="6" t="s">
        <v>2231</v>
      </c>
    </row>
    <row r="2261" spans="1:2" x14ac:dyDescent="0.3">
      <c r="A2261" s="7" t="str">
        <f>HYPERLINK("http://www.eatonpowersource.com/products/configure/screw-in%20cartridge%20valves/details/403aa00396a","403AA00396A")</f>
        <v>403AA00396A</v>
      </c>
      <c r="B2261" s="8" t="s">
        <v>2232</v>
      </c>
    </row>
    <row r="2262" spans="1:2" x14ac:dyDescent="0.3">
      <c r="A2262" s="5" t="str">
        <f>HYPERLINK("http://www.eatonpowersource.com/products/configure/screw-in%20cartridge%20valves/details/403aa00401a","403AA00401A")</f>
        <v>403AA00401A</v>
      </c>
      <c r="B2262" s="6" t="s">
        <v>2233</v>
      </c>
    </row>
    <row r="2263" spans="1:2" x14ac:dyDescent="0.3">
      <c r="A2263" s="7" t="str">
        <f>HYPERLINK("http://www.eatonpowersource.com/products/configure/screw-in%20cartridge%20valves/details/403aa00409a","403AA00409A")</f>
        <v>403AA00409A</v>
      </c>
      <c r="B2263" s="8" t="s">
        <v>2234</v>
      </c>
    </row>
    <row r="2264" spans="1:2" x14ac:dyDescent="0.3">
      <c r="A2264" s="5" t="str">
        <f>HYPERLINK("http://www.eatonpowersource.com/products/configure/screw-in%20cartridge%20valves/details/403aa00410a","403AA00410A")</f>
        <v>403AA00410A</v>
      </c>
      <c r="B2264" s="6" t="s">
        <v>2235</v>
      </c>
    </row>
    <row r="2265" spans="1:2" x14ac:dyDescent="0.3">
      <c r="A2265" s="7" t="str">
        <f>HYPERLINK("http://www.eatonpowersource.com/products/configure/screw-in%20cartridge%20valves/details/403aa00416a","403AA00416A")</f>
        <v>403AA00416A</v>
      </c>
      <c r="B2265" s="8" t="s">
        <v>2236</v>
      </c>
    </row>
    <row r="2266" spans="1:2" x14ac:dyDescent="0.3">
      <c r="A2266" s="5" t="str">
        <f>HYPERLINK("http://www.eatonpowersource.com/products/configure/screw-in%20cartridge%20valves/details/403aa00438a","403AA00438A")</f>
        <v>403AA00438A</v>
      </c>
      <c r="B2266" s="6" t="s">
        <v>2237</v>
      </c>
    </row>
    <row r="2267" spans="1:2" x14ac:dyDescent="0.3">
      <c r="A2267" s="7" t="str">
        <f>HYPERLINK("http://www.eatonpowersource.com/products/configure/screw-in%20cartridge%20valves/details/403aa00465a","403AA00465A")</f>
        <v>403AA00465A</v>
      </c>
      <c r="B2267" s="8" t="s">
        <v>2238</v>
      </c>
    </row>
    <row r="2268" spans="1:2" x14ac:dyDescent="0.3">
      <c r="A2268" s="5" t="str">
        <f>HYPERLINK("http://www.eatonpowersource.com/products/configure/screw-in%20cartridge%20valves/details/403aa00473a","403AA00473A")</f>
        <v>403AA00473A</v>
      </c>
      <c r="B2268" s="6" t="s">
        <v>2239</v>
      </c>
    </row>
    <row r="2269" spans="1:2" x14ac:dyDescent="0.3">
      <c r="A2269" s="7" t="str">
        <f>HYPERLINK("http://www.eatonpowersource.com/products/configure/screw-in%20cartridge%20valves/details/403aa00478a","403AA00478A")</f>
        <v>403AA00478A</v>
      </c>
      <c r="B2269" s="8" t="s">
        <v>2240</v>
      </c>
    </row>
    <row r="2270" spans="1:2" x14ac:dyDescent="0.3">
      <c r="A2270" s="5" t="str">
        <f>HYPERLINK("http://www.eatonpowersource.com/products/configure/screw-in%20cartridge%20valves/details/403aa00482a","403AA00482A")</f>
        <v>403AA00482A</v>
      </c>
      <c r="B2270" s="6" t="s">
        <v>2241</v>
      </c>
    </row>
    <row r="2271" spans="1:2" x14ac:dyDescent="0.3">
      <c r="A2271" s="7" t="str">
        <f>HYPERLINK("http://www.eatonpowersource.com/products/configure/screw-in%20cartridge%20valves/details/403aa00495a","403AA00495A")</f>
        <v>403AA00495A</v>
      </c>
      <c r="B2271" s="8" t="s">
        <v>2242</v>
      </c>
    </row>
    <row r="2272" spans="1:2" x14ac:dyDescent="0.3">
      <c r="A2272" s="5" t="str">
        <f>HYPERLINK("http://www.eatonpowersource.com/products/configure/screw-in%20cartridge%20valves/details/403aa00503a","403AA00503A")</f>
        <v>403AA00503A</v>
      </c>
      <c r="B2272" s="6" t="s">
        <v>2243</v>
      </c>
    </row>
    <row r="2273" spans="1:2" x14ac:dyDescent="0.3">
      <c r="A2273" s="7" t="str">
        <f>HYPERLINK("http://www.eatonpowersource.com/products/configure/screw-in%20cartridge%20valves/details/403aa00659a","403AA00659A")</f>
        <v>403AA00659A</v>
      </c>
      <c r="B2273" s="8" t="s">
        <v>2244</v>
      </c>
    </row>
    <row r="2274" spans="1:2" x14ac:dyDescent="0.3">
      <c r="A2274" s="5" t="str">
        <f>HYPERLINK("http://www.eatonpowersource.com/products/configure/screw-in%20cartridge%20valves/details/403aa00749a","403AA00749A")</f>
        <v>403AA00749A</v>
      </c>
      <c r="B2274" s="6" t="s">
        <v>2245</v>
      </c>
    </row>
    <row r="2275" spans="1:2" x14ac:dyDescent="0.3">
      <c r="A2275" s="7" t="str">
        <f>HYPERLINK("http://www.eatonpowersource.com/products/configure/screw-in%20cartridge%20valves/details/403aa00755a","403AA00755A")</f>
        <v>403AA00755A</v>
      </c>
      <c r="B2275" s="8" t="s">
        <v>2246</v>
      </c>
    </row>
    <row r="2276" spans="1:2" x14ac:dyDescent="0.3">
      <c r="A2276" s="5" t="str">
        <f>HYPERLINK("http://www.eatonpowersource.com/products/configure/screw-in%20cartridge%20valves/details/403aa00763a","403AA00763A")</f>
        <v>403AA00763A</v>
      </c>
      <c r="B2276" s="6" t="s">
        <v>2247</v>
      </c>
    </row>
    <row r="2277" spans="1:2" x14ac:dyDescent="0.3">
      <c r="A2277" s="7" t="str">
        <f>HYPERLINK("http://www.eatonpowersource.com/products/configure/screw-in%20cartridge%20valves/details/403aa00771a","403AA00771A")</f>
        <v>403AA00771A</v>
      </c>
      <c r="B2277" s="8" t="s">
        <v>2248</v>
      </c>
    </row>
    <row r="2278" spans="1:2" x14ac:dyDescent="0.3">
      <c r="A2278" s="5" t="str">
        <f>HYPERLINK("http://www.eatonpowersource.com/products/configure/screw-in%20cartridge%20valves/details/403aa00801a","403AA00801A")</f>
        <v>403AA00801A</v>
      </c>
      <c r="B2278" s="6" t="s">
        <v>2249</v>
      </c>
    </row>
    <row r="2279" spans="1:2" x14ac:dyDescent="0.3">
      <c r="A2279" s="7" t="str">
        <f>HYPERLINK("http://www.eatonpowersource.com/products/configure/screw-in%20cartridge%20valves/details/403aa00820a","403AA00820A")</f>
        <v>403AA00820A</v>
      </c>
      <c r="B2279" s="8" t="s">
        <v>2250</v>
      </c>
    </row>
    <row r="2280" spans="1:2" x14ac:dyDescent="0.3">
      <c r="A2280" s="5" t="str">
        <f>HYPERLINK("http://www.eatonpowersource.com/products/configure/screw-in%20cartridge%20valves/details/403aa00823a","403AA00823A")</f>
        <v>403AA00823A</v>
      </c>
      <c r="B2280" s="6" t="s">
        <v>2251</v>
      </c>
    </row>
    <row r="2281" spans="1:2" x14ac:dyDescent="0.3">
      <c r="A2281" s="7" t="str">
        <f>HYPERLINK("http://www.eatonpowersource.com/products/configure/screw-in%20cartridge%20valves/details/403aa00910a","403AA00910A")</f>
        <v>403AA00910A</v>
      </c>
      <c r="B2281" s="8" t="s">
        <v>2252</v>
      </c>
    </row>
    <row r="2282" spans="1:2" x14ac:dyDescent="0.3">
      <c r="A2282" s="5" t="str">
        <f>HYPERLINK("http://www.eatonpowersource.com/products/configure/screw-in%20cartridge%20valves/details/403aa00911a","403AA00911A")</f>
        <v>403AA00911A</v>
      </c>
      <c r="B2282" s="6" t="s">
        <v>2253</v>
      </c>
    </row>
    <row r="2283" spans="1:2" x14ac:dyDescent="0.3">
      <c r="A2283" s="7" t="str">
        <f>HYPERLINK("http://www.eatonpowersource.com/products/configure/screw-in%20cartridge%20valves/details/403aa00923a","403AA00923A")</f>
        <v>403AA00923A</v>
      </c>
      <c r="B2283" s="8" t="s">
        <v>2254</v>
      </c>
    </row>
    <row r="2284" spans="1:2" x14ac:dyDescent="0.3">
      <c r="A2284" s="5" t="str">
        <f>HYPERLINK("http://www.eatonpowersource.com/products/configure/screw-in%20cartridge%20valves/details/403aa01038a","403AA01038A")</f>
        <v>403AA01038A</v>
      </c>
      <c r="B2284" s="6" t="s">
        <v>2255</v>
      </c>
    </row>
    <row r="2285" spans="1:2" x14ac:dyDescent="0.3">
      <c r="A2285" s="7" t="str">
        <f>HYPERLINK("http://www.eatonpowersource.com/products/configure/screw-in%20cartridge%20valves/details/565535","565535")</f>
        <v>565535</v>
      </c>
      <c r="B2285" s="8" t="s">
        <v>2256</v>
      </c>
    </row>
    <row r="2286" spans="1:2" x14ac:dyDescent="0.3">
      <c r="A2286" s="5" t="str">
        <f>HYPERLINK("http://www.eatonpowersource.com/products/configure/screw-in%20cartridge%20valves/details/02-160779","02-160779")</f>
        <v>02-160779</v>
      </c>
      <c r="B2286" s="6" t="s">
        <v>2257</v>
      </c>
    </row>
    <row r="2287" spans="1:2" x14ac:dyDescent="0.3">
      <c r="A2287" s="7" t="str">
        <f>HYPERLINK("http://www.eatonpowersource.com/products/configure/screw-in%20cartridge%20valves/details/02-175807","02-175807")</f>
        <v>02-175807</v>
      </c>
      <c r="B2287" s="8" t="s">
        <v>2258</v>
      </c>
    </row>
    <row r="2288" spans="1:2" x14ac:dyDescent="0.3">
      <c r="A2288" s="5" t="str">
        <f>HYPERLINK("http://www.eatonpowersource.com/products/configure/screw-in%20cartridge%20valves/details/02-175815","02-175815")</f>
        <v>02-175815</v>
      </c>
      <c r="B2288" s="6" t="s">
        <v>2259</v>
      </c>
    </row>
    <row r="2289" spans="1:2" x14ac:dyDescent="0.3">
      <c r="A2289" s="7" t="str">
        <f>HYPERLINK("http://www.eatonpowersource.com/products/configure/screw-in%20cartridge%20valves/details/02-176580","02-176580")</f>
        <v>02-176580</v>
      </c>
      <c r="B2289" s="8" t="s">
        <v>2260</v>
      </c>
    </row>
    <row r="2290" spans="1:2" x14ac:dyDescent="0.3">
      <c r="A2290" s="5" t="str">
        <f>HYPERLINK("http://www.eatonpowersource.com/products/configure/screw-in%20cartridge%20valves/details/02-177074","02-177074")</f>
        <v>02-177074</v>
      </c>
      <c r="B2290" s="6" t="s">
        <v>2261</v>
      </c>
    </row>
    <row r="2291" spans="1:2" x14ac:dyDescent="0.3">
      <c r="A2291" s="7" t="str">
        <f>HYPERLINK("http://www.eatonpowersource.com/products/configure/screw-in%20cartridge%20valves/details/02-177076","02-177076")</f>
        <v>02-177076</v>
      </c>
      <c r="B2291" s="8" t="s">
        <v>2262</v>
      </c>
    </row>
    <row r="2292" spans="1:2" x14ac:dyDescent="0.3">
      <c r="A2292" s="5" t="str">
        <f>HYPERLINK("http://www.eatonpowersource.com/products/configure/screw-in%20cartridge%20valves/details/02-177077","02-177077")</f>
        <v>02-177077</v>
      </c>
      <c r="B2292" s="6" t="s">
        <v>2263</v>
      </c>
    </row>
    <row r="2293" spans="1:2" x14ac:dyDescent="0.3">
      <c r="A2293" s="7" t="str">
        <f>HYPERLINK("http://www.eatonpowersource.com/products/configure/screw-in%20cartridge%20valves/details/02-177079","02-177079")</f>
        <v>02-177079</v>
      </c>
      <c r="B2293" s="8" t="s">
        <v>2264</v>
      </c>
    </row>
    <row r="2294" spans="1:2" x14ac:dyDescent="0.3">
      <c r="A2294" s="5" t="str">
        <f>HYPERLINK("http://www.eatonpowersource.com/products/configure/screw-in%20cartridge%20valves/details/02-177080","02-177080")</f>
        <v>02-177080</v>
      </c>
      <c r="B2294" s="6" t="s">
        <v>2265</v>
      </c>
    </row>
    <row r="2295" spans="1:2" x14ac:dyDescent="0.3">
      <c r="A2295" s="7" t="str">
        <f>HYPERLINK("http://www.eatonpowersource.com/products/configure/screw-in%20cartridge%20valves/details/02-177083","02-177083")</f>
        <v>02-177083</v>
      </c>
      <c r="B2295" s="8" t="s">
        <v>2266</v>
      </c>
    </row>
    <row r="2296" spans="1:2" x14ac:dyDescent="0.3">
      <c r="A2296" s="5" t="str">
        <f>HYPERLINK("http://www.eatonpowersource.com/products/configure/screw-in%20cartridge%20valves/details/02-177085","02-177085")</f>
        <v>02-177085</v>
      </c>
      <c r="B2296" s="6" t="s">
        <v>2267</v>
      </c>
    </row>
    <row r="2297" spans="1:2" x14ac:dyDescent="0.3">
      <c r="A2297" s="7" t="str">
        <f>HYPERLINK("http://www.eatonpowersource.com/products/configure/screw-in%20cartridge%20valves/details/02-177088","02-177088")</f>
        <v>02-177088</v>
      </c>
      <c r="B2297" s="8" t="s">
        <v>2268</v>
      </c>
    </row>
    <row r="2298" spans="1:2" x14ac:dyDescent="0.3">
      <c r="A2298" s="5" t="str">
        <f>HYPERLINK("http://www.eatonpowersource.com/products/configure/screw-in%20cartridge%20valves/details/02-177089","02-177089")</f>
        <v>02-177089</v>
      </c>
      <c r="B2298" s="6" t="s">
        <v>2269</v>
      </c>
    </row>
    <row r="2299" spans="1:2" x14ac:dyDescent="0.3">
      <c r="A2299" s="7" t="str">
        <f>HYPERLINK("http://www.eatonpowersource.com/products/configure/screw-in%20cartridge%20valves/details/02-177090","02-177090")</f>
        <v>02-177090</v>
      </c>
      <c r="B2299" s="8" t="s">
        <v>2270</v>
      </c>
    </row>
    <row r="2300" spans="1:2" x14ac:dyDescent="0.3">
      <c r="A2300" s="5" t="str">
        <f>HYPERLINK("http://www.eatonpowersource.com/products/configure/screw-in%20cartridge%20valves/details/02-177091","02-177091")</f>
        <v>02-177091</v>
      </c>
      <c r="B2300" s="6" t="s">
        <v>2271</v>
      </c>
    </row>
    <row r="2301" spans="1:2" x14ac:dyDescent="0.3">
      <c r="A2301" s="7" t="str">
        <f>HYPERLINK("http://www.eatonpowersource.com/products/configure/screw-in%20cartridge%20valves/details/02-177092","02-177092")</f>
        <v>02-177092</v>
      </c>
      <c r="B2301" s="8" t="s">
        <v>2272</v>
      </c>
    </row>
    <row r="2302" spans="1:2" x14ac:dyDescent="0.3">
      <c r="A2302" s="5" t="str">
        <f>HYPERLINK("http://www.eatonpowersource.com/products/configure/screw-in%20cartridge%20valves/details/02-177095","02-177095")</f>
        <v>02-177095</v>
      </c>
      <c r="B2302" s="6" t="s">
        <v>2273</v>
      </c>
    </row>
    <row r="2303" spans="1:2" x14ac:dyDescent="0.3">
      <c r="A2303" s="7" t="str">
        <f>HYPERLINK("http://www.eatonpowersource.com/products/configure/screw-in%20cartridge%20valves/details/02-177937","02-177937")</f>
        <v>02-177937</v>
      </c>
      <c r="B2303" s="8" t="s">
        <v>2274</v>
      </c>
    </row>
    <row r="2304" spans="1:2" x14ac:dyDescent="0.3">
      <c r="A2304" s="5" t="str">
        <f>HYPERLINK("http://www.eatonpowersource.com/products/configure/screw-in%20cartridge%20valves/details/02-180102","02-180102")</f>
        <v>02-180102</v>
      </c>
      <c r="B2304" s="6" t="s">
        <v>2275</v>
      </c>
    </row>
    <row r="2305" spans="1:2" x14ac:dyDescent="0.3">
      <c r="A2305" s="7" t="str">
        <f>HYPERLINK("http://www.eatonpowersource.com/products/configure/screw-in%20cartridge%20valves/details/02-180103","02-180103")</f>
        <v>02-180103</v>
      </c>
      <c r="B2305" s="8" t="s">
        <v>2276</v>
      </c>
    </row>
    <row r="2306" spans="1:2" x14ac:dyDescent="0.3">
      <c r="A2306" s="5" t="str">
        <f>HYPERLINK("http://www.eatonpowersource.com/products/configure/screw-in%20cartridge%20valves/details/02-180105","02-180105")</f>
        <v>02-180105</v>
      </c>
      <c r="B2306" s="6" t="s">
        <v>2277</v>
      </c>
    </row>
    <row r="2307" spans="1:2" x14ac:dyDescent="0.3">
      <c r="A2307" s="7" t="str">
        <f>HYPERLINK("http://www.eatonpowersource.com/products/configure/screw-in%20cartridge%20valves/details/02-180107","02-180107")</f>
        <v>02-180107</v>
      </c>
      <c r="B2307" s="8" t="s">
        <v>2278</v>
      </c>
    </row>
    <row r="2308" spans="1:2" x14ac:dyDescent="0.3">
      <c r="A2308" s="5" t="str">
        <f>HYPERLINK("http://www.eatonpowersource.com/products/configure/screw-in%20cartridge%20valves/details/02-180112","02-180112")</f>
        <v>02-180112</v>
      </c>
      <c r="B2308" s="6" t="s">
        <v>2279</v>
      </c>
    </row>
    <row r="2309" spans="1:2" x14ac:dyDescent="0.3">
      <c r="A2309" s="7" t="str">
        <f>HYPERLINK("http://www.eatonpowersource.com/products/configure/screw-in%20cartridge%20valves/details/02-180113","02-180113")</f>
        <v>02-180113</v>
      </c>
      <c r="B2309" s="8" t="s">
        <v>2280</v>
      </c>
    </row>
    <row r="2310" spans="1:2" x14ac:dyDescent="0.3">
      <c r="A2310" s="5" t="str">
        <f>HYPERLINK("http://www.eatonpowersource.com/products/configure/screw-in%20cartridge%20valves/details/02-180114","02-180114")</f>
        <v>02-180114</v>
      </c>
      <c r="B2310" s="6" t="s">
        <v>2281</v>
      </c>
    </row>
    <row r="2311" spans="1:2" x14ac:dyDescent="0.3">
      <c r="A2311" s="7" t="str">
        <f>HYPERLINK("http://www.eatonpowersource.com/products/configure/screw-in%20cartridge%20valves/details/02-180116","02-180116")</f>
        <v>02-180116</v>
      </c>
      <c r="B2311" s="8" t="s">
        <v>2282</v>
      </c>
    </row>
    <row r="2312" spans="1:2" x14ac:dyDescent="0.3">
      <c r="A2312" s="5" t="str">
        <f>HYPERLINK("http://www.eatonpowersource.com/products/configure/screw-in%20cartridge%20valves/details/02-180122","02-180122")</f>
        <v>02-180122</v>
      </c>
      <c r="B2312" s="6" t="s">
        <v>2283</v>
      </c>
    </row>
    <row r="2313" spans="1:2" x14ac:dyDescent="0.3">
      <c r="A2313" s="7" t="str">
        <f>HYPERLINK("http://www.eatonpowersource.com/products/configure/screw-in%20cartridge%20valves/details/02-180123","02-180123")</f>
        <v>02-180123</v>
      </c>
      <c r="B2313" s="8" t="s">
        <v>2284</v>
      </c>
    </row>
    <row r="2314" spans="1:2" x14ac:dyDescent="0.3">
      <c r="A2314" s="5" t="str">
        <f>HYPERLINK("http://www.eatonpowersource.com/products/configure/screw-in%20cartridge%20valves/details/02-180124","02-180124")</f>
        <v>02-180124</v>
      </c>
      <c r="B2314" s="6" t="s">
        <v>2285</v>
      </c>
    </row>
    <row r="2315" spans="1:2" x14ac:dyDescent="0.3">
      <c r="A2315" s="7" t="str">
        <f>HYPERLINK("http://www.eatonpowersource.com/products/configure/screw-in%20cartridge%20valves/details/02-180585","02-180585")</f>
        <v>02-180585</v>
      </c>
      <c r="B2315" s="8" t="s">
        <v>2286</v>
      </c>
    </row>
    <row r="2316" spans="1:2" x14ac:dyDescent="0.3">
      <c r="A2316" s="5" t="str">
        <f>HYPERLINK("http://www.eatonpowersource.com/products/configure/screw-in%20cartridge%20valves/details/02-181324","02-181324")</f>
        <v>02-181324</v>
      </c>
      <c r="B2316" s="6" t="s">
        <v>2287</v>
      </c>
    </row>
    <row r="2317" spans="1:2" x14ac:dyDescent="0.3">
      <c r="A2317" s="7" t="str">
        <f>HYPERLINK("http://www.eatonpowersource.com/products/configure/screw-in%20cartridge%20valves/details/02-181325","02-181325")</f>
        <v>02-181325</v>
      </c>
      <c r="B2317" s="8" t="s">
        <v>2288</v>
      </c>
    </row>
    <row r="2318" spans="1:2" x14ac:dyDescent="0.3">
      <c r="A2318" s="5" t="str">
        <f>HYPERLINK("http://www.eatonpowersource.com/products/configure/screw-in%20cartridge%20valves/details/02-181326","02-181326")</f>
        <v>02-181326</v>
      </c>
      <c r="B2318" s="6" t="s">
        <v>2289</v>
      </c>
    </row>
    <row r="2319" spans="1:2" x14ac:dyDescent="0.3">
      <c r="A2319" s="7" t="str">
        <f>HYPERLINK("http://www.eatonpowersource.com/products/configure/screw-in%20cartridge%20valves/details/02-181327","02-181327")</f>
        <v>02-181327</v>
      </c>
      <c r="B2319" s="8" t="s">
        <v>2290</v>
      </c>
    </row>
    <row r="2320" spans="1:2" x14ac:dyDescent="0.3">
      <c r="A2320" s="5" t="str">
        <f>HYPERLINK("http://www.eatonpowersource.com/products/configure/screw-in%20cartridge%20valves/details/02-181329","02-181329")</f>
        <v>02-181329</v>
      </c>
      <c r="B2320" s="6" t="s">
        <v>2291</v>
      </c>
    </row>
    <row r="2321" spans="1:2" x14ac:dyDescent="0.3">
      <c r="A2321" s="7" t="str">
        <f>HYPERLINK("http://www.eatonpowersource.com/products/configure/screw-in%20cartridge%20valves/details/02-181330","02-181330")</f>
        <v>02-181330</v>
      </c>
      <c r="B2321" s="8" t="s">
        <v>2292</v>
      </c>
    </row>
    <row r="2322" spans="1:2" x14ac:dyDescent="0.3">
      <c r="A2322" s="5" t="str">
        <f>HYPERLINK("http://www.eatonpowersource.com/products/configure/screw-in%20cartridge%20valves/details/02-181331","02-181331")</f>
        <v>02-181331</v>
      </c>
      <c r="B2322" s="6" t="s">
        <v>2293</v>
      </c>
    </row>
    <row r="2323" spans="1:2" x14ac:dyDescent="0.3">
      <c r="A2323" s="7" t="str">
        <f>HYPERLINK("http://www.eatonpowersource.com/products/configure/screw-in%20cartridge%20valves/details/02-181718","02-181718")</f>
        <v>02-181718</v>
      </c>
      <c r="B2323" s="8" t="s">
        <v>2294</v>
      </c>
    </row>
    <row r="2324" spans="1:2" x14ac:dyDescent="0.3">
      <c r="A2324" s="5" t="str">
        <f>HYPERLINK("http://www.eatonpowersource.com/products/configure/screw-in%20cartridge%20valves/details/02-181801","02-181801")</f>
        <v>02-181801</v>
      </c>
      <c r="B2324" s="6" t="s">
        <v>2295</v>
      </c>
    </row>
    <row r="2325" spans="1:2" x14ac:dyDescent="0.3">
      <c r="A2325" s="7" t="str">
        <f>HYPERLINK("http://www.eatonpowersource.com/products/configure/screw-in%20cartridge%20valves/details/02-182645","02-182645")</f>
        <v>02-182645</v>
      </c>
      <c r="B2325" s="8" t="s">
        <v>2296</v>
      </c>
    </row>
    <row r="2326" spans="1:2" x14ac:dyDescent="0.3">
      <c r="A2326" s="5" t="str">
        <f>HYPERLINK("http://www.eatonpowersource.com/products/configure/screw-in%20cartridge%20valves/details/02-182875","02-182875")</f>
        <v>02-182875</v>
      </c>
      <c r="B2326" s="6" t="s">
        <v>2297</v>
      </c>
    </row>
    <row r="2327" spans="1:2" x14ac:dyDescent="0.3">
      <c r="A2327" s="7" t="str">
        <f>HYPERLINK("http://www.eatonpowersource.com/products/configure/screw-in%20cartridge%20valves/details/02-198535","02-198535")</f>
        <v>02-198535</v>
      </c>
      <c r="B2327" s="8" t="s">
        <v>2298</v>
      </c>
    </row>
    <row r="2328" spans="1:2" x14ac:dyDescent="0.3">
      <c r="A2328" s="5" t="str">
        <f>HYPERLINK("http://www.eatonpowersource.com/products/configure/screw-in%20cartridge%20valves/details/02-198684","02-198684")</f>
        <v>02-198684</v>
      </c>
      <c r="B2328" s="6" t="s">
        <v>2299</v>
      </c>
    </row>
    <row r="2329" spans="1:2" x14ac:dyDescent="0.3">
      <c r="A2329" s="7" t="str">
        <f>HYPERLINK("http://www.eatonpowersource.com/products/configure/screw-in%20cartridge%20valves/details/02-198800","02-198800")</f>
        <v>02-198800</v>
      </c>
      <c r="B2329" s="8" t="s">
        <v>2300</v>
      </c>
    </row>
    <row r="2330" spans="1:2" x14ac:dyDescent="0.3">
      <c r="A2330" s="5" t="str">
        <f>HYPERLINK("http://www.eatonpowersource.com/products/configure/screw-in%20cartridge%20valves/details/02-199323","02-199323")</f>
        <v>02-199323</v>
      </c>
      <c r="B2330" s="6" t="s">
        <v>2301</v>
      </c>
    </row>
    <row r="2331" spans="1:2" x14ac:dyDescent="0.3">
      <c r="A2331" s="7" t="str">
        <f>HYPERLINK("http://www.eatonpowersource.com/products/configure/screw-in%20cartridge%20valves/details/02-199326","02-199326")</f>
        <v>02-199326</v>
      </c>
      <c r="B2331" s="8" t="s">
        <v>2302</v>
      </c>
    </row>
    <row r="2332" spans="1:2" x14ac:dyDescent="0.3">
      <c r="A2332" s="5" t="str">
        <f>HYPERLINK("http://www.eatonpowersource.com/products/configure/screw-in%20cartridge%20valves/details/02-199673","02-199673")</f>
        <v>02-199673</v>
      </c>
      <c r="B2332" s="6" t="s">
        <v>2303</v>
      </c>
    </row>
    <row r="2333" spans="1:2" x14ac:dyDescent="0.3">
      <c r="A2333" s="7" t="str">
        <f>HYPERLINK("http://www.eatonpowersource.com/products/configure/screw-in%20cartridge%20valves/details/02-200192","02-200192")</f>
        <v>02-200192</v>
      </c>
      <c r="B2333" s="8" t="s">
        <v>2304</v>
      </c>
    </row>
    <row r="2334" spans="1:2" x14ac:dyDescent="0.3">
      <c r="A2334" s="5" t="str">
        <f>HYPERLINK("http://www.eatonpowersource.com/products/configure/screw-in%20cartridge%20valves/details/02-200244","02-200244")</f>
        <v>02-200244</v>
      </c>
      <c r="B2334" s="6" t="s">
        <v>2305</v>
      </c>
    </row>
    <row r="2335" spans="1:2" x14ac:dyDescent="0.3">
      <c r="A2335" s="7" t="str">
        <f>HYPERLINK("http://www.eatonpowersource.com/products/configure/screw-in%20cartridge%20valves/details/02-200504","02-200504")</f>
        <v>02-200504</v>
      </c>
      <c r="B2335" s="8" t="s">
        <v>2306</v>
      </c>
    </row>
    <row r="2336" spans="1:2" x14ac:dyDescent="0.3">
      <c r="A2336" s="5" t="str">
        <f>HYPERLINK("http://www.eatonpowersource.com/products/configure/screw-in%20cartridge%20valves/details/02-200518","02-200518")</f>
        <v>02-200518</v>
      </c>
      <c r="B2336" s="6" t="s">
        <v>2307</v>
      </c>
    </row>
    <row r="2337" spans="1:2" x14ac:dyDescent="0.3">
      <c r="A2337" s="7" t="str">
        <f>HYPERLINK("http://www.eatonpowersource.com/products/configure/screw-in%20cartridge%20valves/details/02-200520","02-200520")</f>
        <v>02-200520</v>
      </c>
      <c r="B2337" s="8" t="s">
        <v>2308</v>
      </c>
    </row>
    <row r="2338" spans="1:2" x14ac:dyDescent="0.3">
      <c r="A2338" s="5" t="str">
        <f>HYPERLINK("http://www.eatonpowersource.com/products/configure/screw-in%20cartridge%20valves/details/02-200522","02-200522")</f>
        <v>02-200522</v>
      </c>
      <c r="B2338" s="6" t="s">
        <v>2309</v>
      </c>
    </row>
    <row r="2339" spans="1:2" x14ac:dyDescent="0.3">
      <c r="A2339" s="7" t="str">
        <f>HYPERLINK("http://www.eatonpowersource.com/products/configure/screw-in%20cartridge%20valves/details/02-200526","02-200526")</f>
        <v>02-200526</v>
      </c>
      <c r="B2339" s="8" t="s">
        <v>2310</v>
      </c>
    </row>
    <row r="2340" spans="1:2" x14ac:dyDescent="0.3">
      <c r="A2340" s="5" t="str">
        <f>HYPERLINK("http://www.eatonpowersource.com/products/configure/screw-in%20cartridge%20valves/details/02-201761","02-201761")</f>
        <v>02-201761</v>
      </c>
      <c r="B2340" s="6" t="s">
        <v>2311</v>
      </c>
    </row>
    <row r="2341" spans="1:2" x14ac:dyDescent="0.3">
      <c r="A2341" s="7" t="str">
        <f>HYPERLINK("http://www.eatonpowersource.com/products/configure/screw-in%20cartridge%20valves/details/300aa00311a","300AA00311A")</f>
        <v>300AA00311A</v>
      </c>
      <c r="B2341" s="8" t="s">
        <v>2312</v>
      </c>
    </row>
    <row r="2342" spans="1:2" x14ac:dyDescent="0.3">
      <c r="A2342" s="5" t="str">
        <f>HYPERLINK("http://www.eatonpowersource.com/products/configure/screw-in%20cartridge%20valves/details/303aa00410a","303AA00410A")</f>
        <v>303AA00410A</v>
      </c>
      <c r="B2342" s="6" t="s">
        <v>2313</v>
      </c>
    </row>
    <row r="2343" spans="1:2" x14ac:dyDescent="0.3">
      <c r="A2343" s="7" t="str">
        <f>HYPERLINK("http://www.eatonpowersource.com/products/configure/screw-in%20cartridge%20valves/details/303aa00578a","303AA00578A")</f>
        <v>303AA00578A</v>
      </c>
      <c r="B2343" s="8" t="s">
        <v>2314</v>
      </c>
    </row>
    <row r="2344" spans="1:2" x14ac:dyDescent="0.3">
      <c r="A2344" s="5" t="str">
        <f>HYPERLINK("http://www.eatonpowersource.com/products/configure/screw-in%20cartridge%20valves/details/303aa00848a","303AA00848A")</f>
        <v>303AA00848A</v>
      </c>
      <c r="B2344" s="6" t="s">
        <v>2315</v>
      </c>
    </row>
    <row r="2345" spans="1:2" x14ac:dyDescent="0.3">
      <c r="A2345" s="7" t="str">
        <f>HYPERLINK("http://www.eatonpowersource.com/products/configure/screw-in%20cartridge%20valves/details/400aa00211a","400AA00211A")</f>
        <v>400AA00211A</v>
      </c>
      <c r="B2345" s="8" t="s">
        <v>2316</v>
      </c>
    </row>
    <row r="2346" spans="1:2" x14ac:dyDescent="0.3">
      <c r="A2346" s="5" t="str">
        <f>HYPERLINK("http://www.eatonpowersource.com/products/configure/screw-in%20cartridge%20valves/details/403aa00013a","403AA00013A")</f>
        <v>403AA00013A</v>
      </c>
      <c r="B2346" s="6" t="s">
        <v>2317</v>
      </c>
    </row>
    <row r="2347" spans="1:2" x14ac:dyDescent="0.3">
      <c r="A2347" s="7" t="str">
        <f>HYPERLINK("http://www.eatonpowersource.com/products/configure/screw-in%20cartridge%20valves/details/403aa00023a","403AA00023A")</f>
        <v>403AA00023A</v>
      </c>
      <c r="B2347" s="8" t="s">
        <v>2318</v>
      </c>
    </row>
    <row r="2348" spans="1:2" x14ac:dyDescent="0.3">
      <c r="A2348" s="5" t="str">
        <f>HYPERLINK("http://www.eatonpowersource.com/products/configure/screw-in%20cartridge%20valves/details/403aa00066a","403AA00066A")</f>
        <v>403AA00066A</v>
      </c>
      <c r="B2348" s="6" t="s">
        <v>2319</v>
      </c>
    </row>
    <row r="2349" spans="1:2" x14ac:dyDescent="0.3">
      <c r="A2349" s="7" t="str">
        <f>HYPERLINK("http://www.eatonpowersource.com/products/configure/screw-in%20cartridge%20valves/details/403aa00143a","403AA00143A")</f>
        <v>403AA00143A</v>
      </c>
      <c r="B2349" s="8" t="s">
        <v>2320</v>
      </c>
    </row>
    <row r="2350" spans="1:2" x14ac:dyDescent="0.3">
      <c r="A2350" s="5" t="str">
        <f>HYPERLINK("http://www.eatonpowersource.com/products/configure/screw-in%20cartridge%20valves/details/403aa00787a","403AA00787A")</f>
        <v>403AA00787A</v>
      </c>
      <c r="B2350" s="6" t="s">
        <v>2321</v>
      </c>
    </row>
    <row r="2351" spans="1:2" x14ac:dyDescent="0.3">
      <c r="A2351" s="7" t="str">
        <f>HYPERLINK("http://www.eatonpowersource.com/products/configure/screw-in%20cartridge%20valves/details/403aa00819a","403AA00819A")</f>
        <v>403AA00819A</v>
      </c>
      <c r="B2351" s="8" t="s">
        <v>2322</v>
      </c>
    </row>
    <row r="2352" spans="1:2" x14ac:dyDescent="0.3">
      <c r="A2352" s="5" t="str">
        <f>HYPERLINK("http://www.eatonpowersource.com/products/configure/screw-in%20cartridge%20valves/details/403aa00821a","403AA00821A")</f>
        <v>403AA00821A</v>
      </c>
      <c r="B2352" s="6" t="s">
        <v>2323</v>
      </c>
    </row>
    <row r="2353" spans="1:2" x14ac:dyDescent="0.3">
      <c r="A2353" s="7" t="str">
        <f>HYPERLINK("http://www.eatonpowersource.com/products/configure/screw-in%20cartridge%20valves/details/403aa01017a","403AA01017A")</f>
        <v>403AA01017A</v>
      </c>
      <c r="B2353" s="8" t="s">
        <v>2324</v>
      </c>
    </row>
    <row r="2354" spans="1:2" x14ac:dyDescent="0.3">
      <c r="A2354" s="5" t="str">
        <f>HYPERLINK("http://www.eatonpowersource.com/products/configure/screw-in%20cartridge%20valves/details/403aa01056a","403AA01056A")</f>
        <v>403AA01056A</v>
      </c>
      <c r="B2354" s="6" t="s">
        <v>2325</v>
      </c>
    </row>
    <row r="2355" spans="1:2" x14ac:dyDescent="0.3">
      <c r="A2355" s="7" t="str">
        <f>HYPERLINK("http://www.eatonpowersource.com/products/configure/screw-in%20cartridge%20valves/details/403aa01058a","403AA01058A")</f>
        <v>403AA01058A</v>
      </c>
      <c r="B2355" s="8" t="s">
        <v>2326</v>
      </c>
    </row>
    <row r="2356" spans="1:2" x14ac:dyDescent="0.3">
      <c r="A2356" s="5" t="str">
        <f>HYPERLINK("http://www.eatonpowersource.com/products/configure/screw-in%20cartridge%20valves/details/403aa01064a","403AA01064A")</f>
        <v>403AA01064A</v>
      </c>
      <c r="B2356" s="6" t="s">
        <v>2327</v>
      </c>
    </row>
    <row r="2357" spans="1:2" x14ac:dyDescent="0.3">
      <c r="A2357" s="7" t="str">
        <f>HYPERLINK("http://www.eatonpowersource.com/products/configure/screw-in%20cartridge%20valves/details/403aa01066a","403AA01066A")</f>
        <v>403AA01066A</v>
      </c>
      <c r="B2357" s="8" t="s">
        <v>2328</v>
      </c>
    </row>
    <row r="2358" spans="1:2" x14ac:dyDescent="0.3">
      <c r="A2358" s="5" t="str">
        <f>HYPERLINK("http://www.eatonpowersource.com/products/configure/screw-in%20cartridge%20valves/details/565533","565533")</f>
        <v>565533</v>
      </c>
      <c r="B2358" s="6" t="s">
        <v>2329</v>
      </c>
    </row>
    <row r="2359" spans="1:2" x14ac:dyDescent="0.3">
      <c r="A2359" s="7" t="str">
        <f>HYPERLINK("http://www.eatonpowersource.com/products/configure/screw-in%20cartridge%20valves/details/566022","566022")</f>
        <v>566022</v>
      </c>
      <c r="B2359" s="8" t="s">
        <v>2330</v>
      </c>
    </row>
    <row r="2360" spans="1:2" x14ac:dyDescent="0.3">
      <c r="A2360" s="5" t="str">
        <f>HYPERLINK("http://www.eatonpowersource.com/products/configure/screw-in%20cartridge%20valves/details/axp9997-230","AXP9997-230")</f>
        <v>AXP9997-230</v>
      </c>
      <c r="B2360" s="6" t="s">
        <v>2331</v>
      </c>
    </row>
    <row r="2361" spans="1:2" x14ac:dyDescent="0.3">
      <c r="A2361" s="7" t="str">
        <f>HYPERLINK("http://www.eatonpowersource.com/products/configure/screw-in%20cartridge%20valves/details/cert-of-test-wa","CERT-OF-TEST-WA")</f>
        <v>CERT-OF-TEST-WA</v>
      </c>
      <c r="B2361" s="8" t="s">
        <v>2332</v>
      </c>
    </row>
    <row r="2362" spans="1:2" x14ac:dyDescent="0.3">
      <c r="A2362" s="5" t="str">
        <f>HYPERLINK("http://www.eatonpowersource.com/products/configure/screw-in%20cartridge%20valves/details/407aa00387a","407AA00387A")</f>
        <v>407AA00387A</v>
      </c>
      <c r="B2362" s="6" t="s">
        <v>2333</v>
      </c>
    </row>
    <row r="2363" spans="1:2" x14ac:dyDescent="0.3">
      <c r="A2363" s="7" t="str">
        <f>HYPERLINK("http://www.eatonpowersource.com/products/configure/screw-in%20cartridge%20valves/details/565838","565838")</f>
        <v>565838</v>
      </c>
      <c r="B2363" s="8" t="s">
        <v>2334</v>
      </c>
    </row>
    <row r="2364" spans="1:2" x14ac:dyDescent="0.3">
      <c r="A2364" s="5" t="str">
        <f>HYPERLINK("http://www.eatonpowersource.com/products/configure/screw-in%20cartridge%20valves/details/02-160833","02-160833")</f>
        <v>02-160833</v>
      </c>
      <c r="B2364" s="6" t="s">
        <v>2335</v>
      </c>
    </row>
    <row r="2365" spans="1:2" x14ac:dyDescent="0.3">
      <c r="A2365" s="7" t="str">
        <f>HYPERLINK("http://www.eatonpowersource.com/products/configure/screw-in%20cartridge%20valves/details/02-160834","02-160834")</f>
        <v>02-160834</v>
      </c>
      <c r="B2365" s="8" t="s">
        <v>2336</v>
      </c>
    </row>
    <row r="2366" spans="1:2" x14ac:dyDescent="0.3">
      <c r="A2366" s="5" t="str">
        <f>HYPERLINK("http://www.eatonpowersource.com/products/configure/screw-in%20cartridge%20valves/details/02-160843","02-160843")</f>
        <v>02-160843</v>
      </c>
      <c r="B2366" s="6" t="s">
        <v>2337</v>
      </c>
    </row>
    <row r="2367" spans="1:2" x14ac:dyDescent="0.3">
      <c r="A2367" s="7" t="str">
        <f>HYPERLINK("http://www.eatonpowersource.com/products/configure/screw-in%20cartridge%20valves/details/02-161582","02-161582")</f>
        <v>02-161582</v>
      </c>
      <c r="B2367" s="8" t="s">
        <v>2338</v>
      </c>
    </row>
    <row r="2368" spans="1:2" x14ac:dyDescent="0.3">
      <c r="A2368" s="5" t="str">
        <f>HYPERLINK("http://www.eatonpowersource.com/products/configure/screw-in%20cartridge%20valves/details/02-164931","02-164931")</f>
        <v>02-164931</v>
      </c>
      <c r="B2368" s="6" t="s">
        <v>2339</v>
      </c>
    </row>
    <row r="2369" spans="1:2" x14ac:dyDescent="0.3">
      <c r="A2369" s="7" t="str">
        <f>HYPERLINK("http://www.eatonpowersource.com/products/configure/screw-in%20cartridge%20valves/details/02-168235","02-168235")</f>
        <v>02-168235</v>
      </c>
      <c r="B2369" s="8" t="s">
        <v>2340</v>
      </c>
    </row>
    <row r="2370" spans="1:2" x14ac:dyDescent="0.3">
      <c r="A2370" s="5" t="str">
        <f>HYPERLINK("http://www.eatonpowersource.com/products/configure/screw-in%20cartridge%20valves/details/566411","566411")</f>
        <v>566411</v>
      </c>
      <c r="B2370" s="6" t="s">
        <v>2341</v>
      </c>
    </row>
    <row r="2371" spans="1:2" x14ac:dyDescent="0.3">
      <c r="A2371" s="7" t="str">
        <f>HYPERLINK("http://www.eatonpowersource.com/products/configure/screw-in%20cartridge%20valves/details/02-112933","02-112933")</f>
        <v>02-112933</v>
      </c>
      <c r="B2371" s="8" t="s">
        <v>2342</v>
      </c>
    </row>
    <row r="2372" spans="1:2" x14ac:dyDescent="0.3">
      <c r="A2372" s="5" t="str">
        <f>HYPERLINK("http://www.eatonpowersource.com/products/configure/screw-in%20cartridge%20valves/details/02-162162","02-162162")</f>
        <v>02-162162</v>
      </c>
      <c r="B2372" s="6" t="s">
        <v>2343</v>
      </c>
    </row>
    <row r="2373" spans="1:2" x14ac:dyDescent="0.3">
      <c r="A2373" s="7" t="str">
        <f>HYPERLINK("http://www.eatonpowersource.com/products/configure/screw-in%20cartridge%20valves/details/565834","565834")</f>
        <v>565834</v>
      </c>
      <c r="B2373" s="8" t="s">
        <v>2344</v>
      </c>
    </row>
    <row r="2374" spans="1:2" x14ac:dyDescent="0.3">
      <c r="A2374" s="5" t="str">
        <f>HYPERLINK("http://www.eatonpowersource.com/products/configure/screw-in%20cartridge%20valves/details/566235","566235")</f>
        <v>566235</v>
      </c>
      <c r="B2374" s="6" t="s">
        <v>2345</v>
      </c>
    </row>
    <row r="2375" spans="1:2" x14ac:dyDescent="0.3">
      <c r="A2375" s="7" t="str">
        <f>HYPERLINK("http://www.eatonpowersource.com/products/configure/screw-in%20cartridge%20valves/details/889509","889509")</f>
        <v>889509</v>
      </c>
      <c r="B2375" s="8" t="s">
        <v>2346</v>
      </c>
    </row>
    <row r="2376" spans="1:2" x14ac:dyDescent="0.3">
      <c r="A2376" s="5" t="str">
        <f>HYPERLINK("http://www.eatonpowersource.com/products/configure/screw-in%20cartridge%20valves/details/at1097-sale","AT1097-SALE")</f>
        <v>AT1097-SALE</v>
      </c>
      <c r="B2376" s="6" t="s">
        <v>2347</v>
      </c>
    </row>
    <row r="2377" spans="1:2" x14ac:dyDescent="0.3">
      <c r="A2377" s="7" t="str">
        <f>HYPERLINK("http://www.eatonpowersource.com/products/configure/screw-in%20cartridge%20valves/details/at1352-sale","AT1352-SALE")</f>
        <v>AT1352-SALE</v>
      </c>
      <c r="B2377" s="8" t="s">
        <v>2348</v>
      </c>
    </row>
    <row r="2378" spans="1:2" x14ac:dyDescent="0.3">
      <c r="A2378" s="5" t="str">
        <f>HYPERLINK("http://www.eatonpowersource.com/products/configure/screw-in%20cartridge%20valves/details/at1391-sale","AT1391-SALE")</f>
        <v>AT1391-SALE</v>
      </c>
      <c r="B2378" s="6" t="s">
        <v>2349</v>
      </c>
    </row>
    <row r="2379" spans="1:2" x14ac:dyDescent="0.3">
      <c r="A2379" s="7" t="str">
        <f>HYPERLINK("http://www.eatonpowersource.com/products/configure/screw-in%20cartridge%20valves/details/at1497-sale","AT1497-SALE")</f>
        <v>AT1497-SALE</v>
      </c>
      <c r="B2379" s="8" t="s">
        <v>2350</v>
      </c>
    </row>
    <row r="2380" spans="1:2" x14ac:dyDescent="0.3">
      <c r="A2380" s="5" t="str">
        <f>HYPERLINK("http://www.eatonpowersource.com/products/configure/screw-in%20cartridge%20valves/details/at1576-sale","AT1576-SALE")</f>
        <v>AT1576-SALE</v>
      </c>
      <c r="B2380" s="6" t="s">
        <v>2351</v>
      </c>
    </row>
    <row r="2381" spans="1:2" x14ac:dyDescent="0.3">
      <c r="A2381" s="7" t="str">
        <f>HYPERLINK("http://www.eatonpowersource.com/products/configure/screw-in%20cartridge%20valves/details/at2008-sale","AT2008-SALE")</f>
        <v>AT2008-SALE</v>
      </c>
      <c r="B2381" s="8" t="s">
        <v>2352</v>
      </c>
    </row>
    <row r="2382" spans="1:2" x14ac:dyDescent="0.3">
      <c r="A2382" s="5" t="str">
        <f>HYPERLINK("http://www.eatonpowersource.com/products/configure/screw-in%20cartridge%20valves/details/at2215-sale","AT2215-SALE")</f>
        <v>AT2215-SALE</v>
      </c>
      <c r="B2382" s="6" t="s">
        <v>2353</v>
      </c>
    </row>
    <row r="2383" spans="1:2" x14ac:dyDescent="0.3">
      <c r="A2383" s="7" t="str">
        <f>HYPERLINK("http://www.eatonpowersource.com/products/configure/screw-in%20cartridge%20valves/details/at2216-sale","AT2216-SALE")</f>
        <v>AT2216-SALE</v>
      </c>
      <c r="B2383" s="8" t="s">
        <v>2354</v>
      </c>
    </row>
    <row r="2384" spans="1:2" x14ac:dyDescent="0.3">
      <c r="A2384" s="5" t="str">
        <f>HYPERLINK("http://www.eatonpowersource.com/products/configure/screw-in%20cartridge%20valves/details/at2369/1-sale","AT2369/1-SALE")</f>
        <v>AT2369/1-SALE</v>
      </c>
      <c r="B2384" s="6" t="s">
        <v>2355</v>
      </c>
    </row>
    <row r="2385" spans="1:2" x14ac:dyDescent="0.3">
      <c r="A2385" s="7" t="str">
        <f>HYPERLINK("http://www.eatonpowersource.com/products/configure/screw-in%20cartridge%20valves/details/at2369/2-sale","AT2369/2-SALE")</f>
        <v>AT2369/2-SALE</v>
      </c>
      <c r="B2385" s="8" t="s">
        <v>2356</v>
      </c>
    </row>
    <row r="2386" spans="1:2" x14ac:dyDescent="0.3">
      <c r="A2386" s="5" t="str">
        <f>HYPERLINK("http://www.eatonpowersource.com/products/configure/screw-in%20cartridge%20valves/details/at2486-sale","AT2486-SALE")</f>
        <v>AT2486-SALE</v>
      </c>
      <c r="B2386" s="6" t="s">
        <v>2357</v>
      </c>
    </row>
    <row r="2387" spans="1:2" x14ac:dyDescent="0.3">
      <c r="A2387" s="7" t="str">
        <f>HYPERLINK("http://www.eatonpowersource.com/products/configure/screw-in%20cartridge%20valves/details/at2487-sale","AT2487-SALE")</f>
        <v>AT2487-SALE</v>
      </c>
      <c r="B2387" s="8" t="s">
        <v>2358</v>
      </c>
    </row>
    <row r="2388" spans="1:2" x14ac:dyDescent="0.3">
      <c r="A2388" s="5" t="str">
        <f>HYPERLINK("http://www.eatonpowersource.com/products/configure/screw-in%20cartridge%20valves/details/at2573-sale","AT2573-SALE")</f>
        <v>AT2573-SALE</v>
      </c>
      <c r="B2388" s="6" t="s">
        <v>2359</v>
      </c>
    </row>
    <row r="2389" spans="1:2" x14ac:dyDescent="0.3">
      <c r="A2389" s="7" t="str">
        <f>HYPERLINK("http://www.eatonpowersource.com/products/configure/screw-in%20cartridge%20valves/details/at2574-sale","AT2574-SALE")</f>
        <v>AT2574-SALE</v>
      </c>
      <c r="B2389" s="8" t="s">
        <v>2360</v>
      </c>
    </row>
    <row r="2390" spans="1:2" x14ac:dyDescent="0.3">
      <c r="A2390" s="5" t="str">
        <f>HYPERLINK("http://www.eatonpowersource.com/products/configure/screw-in%20cartridge%20valves/details/at2962-sale","AT2962-SALE")</f>
        <v>AT2962-SALE</v>
      </c>
      <c r="B2390" s="6" t="s">
        <v>2361</v>
      </c>
    </row>
    <row r="2391" spans="1:2" x14ac:dyDescent="0.3">
      <c r="A2391" s="7" t="str">
        <f>HYPERLINK("http://www.eatonpowersource.com/products/configure/screw-in%20cartridge%20valves/details/at2963-sale","AT2963-SALE")</f>
        <v>AT2963-SALE</v>
      </c>
      <c r="B2391" s="8" t="s">
        <v>2362</v>
      </c>
    </row>
    <row r="2392" spans="1:2" x14ac:dyDescent="0.3">
      <c r="A2392" s="5" t="str">
        <f>HYPERLINK("http://www.eatonpowersource.com/products/configure/screw-in%20cartridge%20valves/details/at3058-sale","AT3058-SALE")</f>
        <v>AT3058-SALE</v>
      </c>
      <c r="B2392" s="6" t="s">
        <v>2363</v>
      </c>
    </row>
    <row r="2393" spans="1:2" x14ac:dyDescent="0.3">
      <c r="A2393" s="7" t="str">
        <f>HYPERLINK("http://www.eatonpowersource.com/products/configure/screw-in%20cartridge%20valves/details/at3059-sale","AT3059-SALE")</f>
        <v>AT3059-SALE</v>
      </c>
      <c r="B2393" s="8" t="s">
        <v>2364</v>
      </c>
    </row>
    <row r="2394" spans="1:2" x14ac:dyDescent="0.3">
      <c r="A2394" s="5" t="str">
        <f>HYPERLINK("http://www.eatonpowersource.com/products/configure/screw-in%20cartridge%20valves/details/at3616-sale","AT3616-SALE")</f>
        <v>AT3616-SALE</v>
      </c>
      <c r="B2394" s="6" t="s">
        <v>2365</v>
      </c>
    </row>
    <row r="2395" spans="1:2" x14ac:dyDescent="0.3">
      <c r="A2395" s="7" t="str">
        <f>HYPERLINK("http://www.eatonpowersource.com/products/configure/screw-in%20cartridge%20valves/details/at3617-sale","AT3617-SALE")</f>
        <v>AT3617-SALE</v>
      </c>
      <c r="B2395" s="8" t="s">
        <v>2366</v>
      </c>
    </row>
    <row r="2396" spans="1:2" x14ac:dyDescent="0.3">
      <c r="A2396" s="5" t="str">
        <f>HYPERLINK("http://www.eatonpowersource.com/products/configure/screw-in%20cartridge%20valves/details/at3703-sale","AT3703-SALE")</f>
        <v>AT3703-SALE</v>
      </c>
      <c r="B2396" s="6" t="s">
        <v>2367</v>
      </c>
    </row>
    <row r="2397" spans="1:2" x14ac:dyDescent="0.3">
      <c r="A2397" s="7" t="str">
        <f>HYPERLINK("http://www.eatonpowersource.com/products/configure/screw-in%20cartridge%20valves/details/at3704-sale","AT3704-SALE")</f>
        <v>AT3704-SALE</v>
      </c>
      <c r="B2397" s="8" t="s">
        <v>2368</v>
      </c>
    </row>
    <row r="2398" spans="1:2" x14ac:dyDescent="0.3">
      <c r="A2398" s="5" t="str">
        <f>HYPERLINK("http://www.eatonpowersource.com/products/configure/screw-in%20cartridge%20valves/details/at3882-sale","AT3882-SALE")</f>
        <v>AT3882-SALE</v>
      </c>
      <c r="B2398" s="6" t="s">
        <v>2369</v>
      </c>
    </row>
    <row r="2399" spans="1:2" x14ac:dyDescent="0.3">
      <c r="A2399" s="7" t="str">
        <f>HYPERLINK("http://www.eatonpowersource.com/products/configure/screw-in%20cartridge%20valves/details/at3900-sale","AT3900-SALE")</f>
        <v>AT3900-SALE</v>
      </c>
      <c r="B2399" s="8" t="s">
        <v>2370</v>
      </c>
    </row>
    <row r="2400" spans="1:2" x14ac:dyDescent="0.3">
      <c r="A2400" s="5" t="str">
        <f>HYPERLINK("http://www.eatonpowersource.com/products/configure/screw-in%20cartridge%20valves/details/at4218-sale","AT4218-SALE")</f>
        <v>AT4218-SALE</v>
      </c>
      <c r="B2400" s="6" t="s">
        <v>2371</v>
      </c>
    </row>
    <row r="2401" spans="1:2" x14ac:dyDescent="0.3">
      <c r="A2401" s="7" t="str">
        <f>HYPERLINK("http://www.eatonpowersource.com/products/configure/screw-in%20cartridge%20valves/details/at4442-sale","AT4442-SALE")</f>
        <v>AT4442-SALE</v>
      </c>
      <c r="B2401" s="8" t="s">
        <v>2372</v>
      </c>
    </row>
    <row r="2402" spans="1:2" x14ac:dyDescent="0.3">
      <c r="A2402" s="5" t="str">
        <f>HYPERLINK("http://www.eatonpowersource.com/products/configure/screw-in%20cartridge%20valves/details/at4443-sale","AT4443-SALE")</f>
        <v>AT4443-SALE</v>
      </c>
      <c r="B2402" s="6" t="s">
        <v>2373</v>
      </c>
    </row>
    <row r="2403" spans="1:2" x14ac:dyDescent="0.3">
      <c r="A2403" s="7" t="str">
        <f>HYPERLINK("http://www.eatonpowersource.com/products/configure/screw-in%20cartridge%20valves/details/at447-sale","AT447-SALE")</f>
        <v>AT447-SALE</v>
      </c>
      <c r="B2403" s="8" t="s">
        <v>2374</v>
      </c>
    </row>
    <row r="2404" spans="1:2" x14ac:dyDescent="0.3">
      <c r="A2404" s="5" t="str">
        <f>HYPERLINK("http://www.eatonpowersource.com/products/configure/screw-in%20cartridge%20valves/details/at448-sale","AT448-SALE")</f>
        <v>AT448-SALE</v>
      </c>
      <c r="B2404" s="6" t="s">
        <v>2375</v>
      </c>
    </row>
    <row r="2405" spans="1:2" x14ac:dyDescent="0.3">
      <c r="A2405" s="7" t="str">
        <f>HYPERLINK("http://www.eatonpowersource.com/products/configure/screw-in%20cartridge%20valves/details/at4734-sale","AT4734-SALE")</f>
        <v>AT4734-SALE</v>
      </c>
      <c r="B2405" s="8" t="s">
        <v>2376</v>
      </c>
    </row>
    <row r="2406" spans="1:2" x14ac:dyDescent="0.3">
      <c r="A2406" s="5" t="str">
        <f>HYPERLINK("http://www.eatonpowersource.com/products/configure/screw-in%20cartridge%20valves/details/at4735-sale","AT4735-SALE")</f>
        <v>AT4735-SALE</v>
      </c>
      <c r="B2406" s="6" t="s">
        <v>2377</v>
      </c>
    </row>
    <row r="2407" spans="1:2" x14ac:dyDescent="0.3">
      <c r="A2407" s="7" t="str">
        <f>HYPERLINK("http://www.eatonpowersource.com/products/configure/screw-in%20cartridge%20valves/details/at4736-sale","AT4736-SALE")</f>
        <v>AT4736-SALE</v>
      </c>
      <c r="B2407" s="8" t="s">
        <v>2378</v>
      </c>
    </row>
    <row r="2408" spans="1:2" x14ac:dyDescent="0.3">
      <c r="A2408" s="5" t="str">
        <f>HYPERLINK("http://www.eatonpowersource.com/products/configure/screw-in%20cartridge%20valves/details/at4737-sale","AT4737-SALE")</f>
        <v>AT4737-SALE</v>
      </c>
      <c r="B2408" s="6" t="s">
        <v>2379</v>
      </c>
    </row>
    <row r="2409" spans="1:2" x14ac:dyDescent="0.3">
      <c r="A2409" s="7" t="str">
        <f>HYPERLINK("http://www.eatonpowersource.com/products/configure/screw-in%20cartridge%20valves/details/at4738-sale","AT4738-SALE")</f>
        <v>AT4738-SALE</v>
      </c>
      <c r="B2409" s="8" t="s">
        <v>2380</v>
      </c>
    </row>
    <row r="2410" spans="1:2" x14ac:dyDescent="0.3">
      <c r="A2410" s="5" t="str">
        <f>HYPERLINK("http://www.eatonpowersource.com/products/configure/screw-in%20cartridge%20valves/details/at4764-sale","AT4764-SALE")</f>
        <v>AT4764-SALE</v>
      </c>
      <c r="B2410" s="6" t="s">
        <v>2381</v>
      </c>
    </row>
    <row r="2411" spans="1:2" x14ac:dyDescent="0.3">
      <c r="A2411" s="7" t="str">
        <f>HYPERLINK("http://www.eatonpowersource.com/products/configure/screw-in%20cartridge%20valves/details/at4765-sale","AT4765-SALE")</f>
        <v>AT4765-SALE</v>
      </c>
      <c r="B2411" s="8" t="s">
        <v>2382</v>
      </c>
    </row>
    <row r="2412" spans="1:2" x14ac:dyDescent="0.3">
      <c r="A2412" s="5" t="str">
        <f>HYPERLINK("http://www.eatonpowersource.com/products/configure/screw-in%20cartridge%20valves/details/at4807-sale","AT4807-SALE")</f>
        <v>AT4807-SALE</v>
      </c>
      <c r="B2412" s="6" t="s">
        <v>2383</v>
      </c>
    </row>
    <row r="2413" spans="1:2" x14ac:dyDescent="0.3">
      <c r="A2413" s="7" t="str">
        <f>HYPERLINK("http://www.eatonpowersource.com/products/configure/screw-in%20cartridge%20valves/details/at4808-sale","AT4808-SALE")</f>
        <v>AT4808-SALE</v>
      </c>
      <c r="B2413" s="8" t="s">
        <v>2384</v>
      </c>
    </row>
    <row r="2414" spans="1:2" x14ac:dyDescent="0.3">
      <c r="A2414" s="5" t="str">
        <f>HYPERLINK("http://www.eatonpowersource.com/products/configure/screw-in%20cartridge%20valves/details/at4823-sale","AT4823-SALE")</f>
        <v>AT4823-SALE</v>
      </c>
      <c r="B2414" s="6" t="s">
        <v>2385</v>
      </c>
    </row>
    <row r="2415" spans="1:2" x14ac:dyDescent="0.3">
      <c r="A2415" s="7" t="str">
        <f>HYPERLINK("http://www.eatonpowersource.com/products/configure/screw-in%20cartridge%20valves/details/at4824-sale","AT4824-SALE")</f>
        <v>AT4824-SALE</v>
      </c>
      <c r="B2415" s="8" t="s">
        <v>2386</v>
      </c>
    </row>
    <row r="2416" spans="1:2" x14ac:dyDescent="0.3">
      <c r="A2416" s="5" t="str">
        <f>HYPERLINK("http://www.eatonpowersource.com/products/configure/screw-in%20cartridge%20valves/details/at4827-sale","AT4827-SALE")</f>
        <v>AT4827-SALE</v>
      </c>
      <c r="B2416" s="6" t="s">
        <v>2387</v>
      </c>
    </row>
    <row r="2417" spans="1:2" x14ac:dyDescent="0.3">
      <c r="A2417" s="7" t="str">
        <f>HYPERLINK("http://www.eatonpowersource.com/products/configure/screw-in%20cartridge%20valves/details/at4828-sale","AT4828-SALE")</f>
        <v>AT4828-SALE</v>
      </c>
      <c r="B2417" s="8" t="s">
        <v>2388</v>
      </c>
    </row>
    <row r="2418" spans="1:2" x14ac:dyDescent="0.3">
      <c r="A2418" s="5" t="str">
        <f>HYPERLINK("http://www.eatonpowersource.com/products/configure/screw-in%20cartridge%20valves/details/at482-sale","AT482-SALE")</f>
        <v>AT482-SALE</v>
      </c>
      <c r="B2418" s="6" t="s">
        <v>2389</v>
      </c>
    </row>
    <row r="2419" spans="1:2" x14ac:dyDescent="0.3">
      <c r="A2419" s="7" t="str">
        <f>HYPERLINK("http://www.eatonpowersource.com/products/configure/screw-in%20cartridge%20valves/details/at4837-sale","AT4837-SALE")</f>
        <v>AT4837-SALE</v>
      </c>
      <c r="B2419" s="8" t="s">
        <v>2390</v>
      </c>
    </row>
    <row r="2420" spans="1:2" x14ac:dyDescent="0.3">
      <c r="A2420" s="5" t="str">
        <f>HYPERLINK("http://www.eatonpowersource.com/products/configure/screw-in%20cartridge%20valves/details/at4838-sale","AT4838-SALE")</f>
        <v>AT4838-SALE</v>
      </c>
      <c r="B2420" s="6" t="s">
        <v>2391</v>
      </c>
    </row>
    <row r="2421" spans="1:2" x14ac:dyDescent="0.3">
      <c r="A2421" s="7" t="str">
        <f>HYPERLINK("http://www.eatonpowersource.com/products/configure/screw-in%20cartridge%20valves/details/at483-sale","AT483-SALE")</f>
        <v>AT483-SALE</v>
      </c>
      <c r="B2421" s="8" t="s">
        <v>2392</v>
      </c>
    </row>
    <row r="2422" spans="1:2" x14ac:dyDescent="0.3">
      <c r="A2422" s="5" t="str">
        <f>HYPERLINK("http://www.eatonpowersource.com/products/configure/screw-in%20cartridge%20valves/details/at491-sale","AT491-SALE")</f>
        <v>AT491-SALE</v>
      </c>
      <c r="B2422" s="6" t="s">
        <v>2393</v>
      </c>
    </row>
    <row r="2423" spans="1:2" x14ac:dyDescent="0.3">
      <c r="A2423" s="7" t="str">
        <f>HYPERLINK("http://www.eatonpowersource.com/products/configure/screw-in%20cartridge%20valves/details/at4996-sale","AT4996-SALE")</f>
        <v>AT4996-SALE</v>
      </c>
      <c r="B2423" s="8" t="s">
        <v>2394</v>
      </c>
    </row>
    <row r="2424" spans="1:2" x14ac:dyDescent="0.3">
      <c r="A2424" s="5" t="str">
        <f>HYPERLINK("http://www.eatonpowersource.com/products/configure/screw-in%20cartridge%20valves/details/at4997-sale","AT4997-SALE")</f>
        <v>AT4997-SALE</v>
      </c>
      <c r="B2424" s="6" t="s">
        <v>2395</v>
      </c>
    </row>
    <row r="2425" spans="1:2" x14ac:dyDescent="0.3">
      <c r="A2425" s="7" t="str">
        <f>HYPERLINK("http://www.eatonpowersource.com/products/configure/screw-in%20cartridge%20valves/details/at501-sale","AT501-SALE")</f>
        <v>AT501-SALE</v>
      </c>
      <c r="B2425" s="8" t="s">
        <v>2396</v>
      </c>
    </row>
    <row r="2426" spans="1:2" x14ac:dyDescent="0.3">
      <c r="A2426" s="5" t="str">
        <f>HYPERLINK("http://www.eatonpowersource.com/products/configure/screw-in%20cartridge%20valves/details/at502-sale","AT502-SALE")</f>
        <v>AT502-SALE</v>
      </c>
      <c r="B2426" s="6" t="s">
        <v>2397</v>
      </c>
    </row>
    <row r="2427" spans="1:2" x14ac:dyDescent="0.3">
      <c r="A2427" s="7" t="str">
        <f>HYPERLINK("http://www.eatonpowersource.com/products/configure/screw-in%20cartridge%20valves/details/at5925-sale","AT5925-SALE")</f>
        <v>AT5925-SALE</v>
      </c>
      <c r="B2427" s="8" t="s">
        <v>2398</v>
      </c>
    </row>
    <row r="2428" spans="1:2" x14ac:dyDescent="0.3">
      <c r="A2428" s="5" t="str">
        <f>HYPERLINK("http://www.eatonpowersource.com/products/configure/screw-in%20cartridge%20valves/details/at925","AT925")</f>
        <v>AT925</v>
      </c>
      <c r="B2428" s="6" t="s">
        <v>2399</v>
      </c>
    </row>
    <row r="2429" spans="1:2" x14ac:dyDescent="0.3">
      <c r="A2429" s="7" t="str">
        <f>HYPERLINK("http://www.eatonpowersource.com/products/configure/screw-in%20cartridge%20valves/details/at928-sale","AT928-SALE")</f>
        <v>AT928-SALE</v>
      </c>
      <c r="B2429" s="8" t="s">
        <v>2400</v>
      </c>
    </row>
    <row r="2430" spans="1:2" x14ac:dyDescent="0.3">
      <c r="A2430" s="5" t="str">
        <f>HYPERLINK("http://www.eatonpowersource.com/products/configure/screw-in%20cartridge%20valves/details/axp1036-sale","AXP1036-SALE")</f>
        <v>AXP1036-SALE</v>
      </c>
      <c r="B2430" s="6" t="s">
        <v>2401</v>
      </c>
    </row>
    <row r="2431" spans="1:2" x14ac:dyDescent="0.3">
      <c r="A2431" s="7" t="str">
        <f>HYPERLINK("http://www.eatonpowersource.com/products/configure/screw-in%20cartridge%20valves/details/axp1040-sale","AXP1040-SALE")</f>
        <v>AXP1040-SALE</v>
      </c>
      <c r="B2431" s="8" t="s">
        <v>2402</v>
      </c>
    </row>
    <row r="2432" spans="1:2" x14ac:dyDescent="0.3">
      <c r="A2432" s="5" t="str">
        <f>HYPERLINK("http://www.eatonpowersource.com/products/configure/screw-in%20cartridge%20valves/details/axp1041-sale","AXP1041-SALE")</f>
        <v>AXP1041-SALE</v>
      </c>
      <c r="B2432" s="6" t="s">
        <v>2403</v>
      </c>
    </row>
    <row r="2433" spans="1:2" x14ac:dyDescent="0.3">
      <c r="A2433" s="7" t="str">
        <f>HYPERLINK("http://www.eatonpowersource.com/products/configure/screw-in%20cartridge%20valves/details/axp1161-sale","AXP1161-SALE")</f>
        <v>AXP1161-SALE</v>
      </c>
      <c r="B2433" s="8" t="s">
        <v>2404</v>
      </c>
    </row>
    <row r="2434" spans="1:2" x14ac:dyDescent="0.3">
      <c r="A2434" s="5" t="str">
        <f>HYPERLINK("http://www.eatonpowersource.com/products/configure/screw-in%20cartridge%20valves/details/axp1162-sale","AXP1162-SALE")</f>
        <v>AXP1162-SALE</v>
      </c>
      <c r="B2434" s="6" t="s">
        <v>2405</v>
      </c>
    </row>
    <row r="2435" spans="1:2" x14ac:dyDescent="0.3">
      <c r="A2435" s="7" t="str">
        <f>HYPERLINK("http://www.eatonpowersource.com/products/configure/screw-in%20cartridge%20valves/details/axp1183-sale","AXP1183-SALE")</f>
        <v>AXP1183-SALE</v>
      </c>
      <c r="B2435" s="8" t="s">
        <v>2406</v>
      </c>
    </row>
    <row r="2436" spans="1:2" x14ac:dyDescent="0.3">
      <c r="A2436" s="5" t="str">
        <f>HYPERLINK("http://www.eatonpowersource.com/products/configure/screw-in%20cartridge%20valves/details/axp12337-sale","AXP12337-SALE")</f>
        <v>AXP12337-SALE</v>
      </c>
      <c r="B2436" s="6" t="s">
        <v>2407</v>
      </c>
    </row>
    <row r="2437" spans="1:2" x14ac:dyDescent="0.3">
      <c r="A2437" s="7" t="str">
        <f>HYPERLINK("http://www.eatonpowersource.com/products/configure/screw-in%20cartridge%20valves/details/axp12338-sale","AXP12338-SALE")</f>
        <v>AXP12338-SALE</v>
      </c>
      <c r="B2437" s="8" t="s">
        <v>2408</v>
      </c>
    </row>
    <row r="2438" spans="1:2" x14ac:dyDescent="0.3">
      <c r="A2438" s="5" t="str">
        <f>HYPERLINK("http://www.eatonpowersource.com/products/configure/screw-in%20cartridge%20valves/details/axp12439-sale","AXP12439-SALE")</f>
        <v>AXP12439-SALE</v>
      </c>
      <c r="B2438" s="6" t="s">
        <v>2409</v>
      </c>
    </row>
    <row r="2439" spans="1:2" x14ac:dyDescent="0.3">
      <c r="A2439" s="7" t="str">
        <f>HYPERLINK("http://www.eatonpowersource.com/products/configure/screw-in%20cartridge%20valves/details/axp12440-sale","AXP12440-SALE")</f>
        <v>AXP12440-SALE</v>
      </c>
      <c r="B2439" s="8" t="s">
        <v>2410</v>
      </c>
    </row>
    <row r="2440" spans="1:2" x14ac:dyDescent="0.3">
      <c r="A2440" s="5" t="str">
        <f>HYPERLINK("http://www.eatonpowersource.com/products/configure/screw-in%20cartridge%20valves/details/axp12802-sale","AXP12802-SALE")</f>
        <v>AXP12802-SALE</v>
      </c>
      <c r="B2440" s="6" t="s">
        <v>2411</v>
      </c>
    </row>
    <row r="2441" spans="1:2" x14ac:dyDescent="0.3">
      <c r="A2441" s="7" t="str">
        <f>HYPERLINK("http://www.eatonpowersource.com/products/configure/screw-in%20cartridge%20valves/details/axp12803-sale","AXP12803-SALE")</f>
        <v>AXP12803-SALE</v>
      </c>
      <c r="B2441" s="8" t="s">
        <v>2412</v>
      </c>
    </row>
    <row r="2442" spans="1:2" x14ac:dyDescent="0.3">
      <c r="A2442" s="5" t="str">
        <f>HYPERLINK("http://www.eatonpowersource.com/products/configure/screw-in%20cartridge%20valves/details/axp12804-sale","AXP12804-SALE")</f>
        <v>AXP12804-SALE</v>
      </c>
      <c r="B2442" s="6" t="s">
        <v>2413</v>
      </c>
    </row>
    <row r="2443" spans="1:2" x14ac:dyDescent="0.3">
      <c r="A2443" s="7" t="str">
        <f>HYPERLINK("http://www.eatonpowersource.com/products/configure/screw-in%20cartridge%20valves/details/axp12805-sale","AXP12805-SALE")</f>
        <v>AXP12805-SALE</v>
      </c>
      <c r="B2443" s="8" t="s">
        <v>2414</v>
      </c>
    </row>
    <row r="2444" spans="1:2" x14ac:dyDescent="0.3">
      <c r="A2444" s="5" t="str">
        <f>HYPERLINK("http://www.eatonpowersource.com/products/configure/screw-in%20cartridge%20valves/details/axp3226-sale","AXP3226-SALE")</f>
        <v>AXP3226-SALE</v>
      </c>
      <c r="B2444" s="6" t="s">
        <v>2415</v>
      </c>
    </row>
    <row r="2445" spans="1:2" x14ac:dyDescent="0.3">
      <c r="A2445" s="7" t="str">
        <f>HYPERLINK("http://www.eatonpowersource.com/products/configure/screw-in%20cartridge%20valves/details/axp3227-sale","AXP3227-SALE")</f>
        <v>AXP3227-SALE</v>
      </c>
      <c r="B2445" s="8" t="s">
        <v>2416</v>
      </c>
    </row>
    <row r="2446" spans="1:2" x14ac:dyDescent="0.3">
      <c r="A2446" s="5" t="str">
        <f>HYPERLINK("http://www.eatonpowersource.com/products/configure/screw-in%20cartridge%20valves/details/axp3315-sale","AXP3315-SALE")</f>
        <v>AXP3315-SALE</v>
      </c>
      <c r="B2446" s="6" t="s">
        <v>2417</v>
      </c>
    </row>
    <row r="2447" spans="1:2" x14ac:dyDescent="0.3">
      <c r="A2447" s="7" t="str">
        <f>HYPERLINK("http://www.eatonpowersource.com/products/configure/screw-in%20cartridge%20valves/details/axp3316-sale","AXP3316-SALE")</f>
        <v>AXP3316-SALE</v>
      </c>
      <c r="B2447" s="8" t="s">
        <v>2418</v>
      </c>
    </row>
    <row r="2448" spans="1:2" x14ac:dyDescent="0.3">
      <c r="A2448" s="5" t="str">
        <f>HYPERLINK("http://www.eatonpowersource.com/products/configure/screw-in%20cartridge%20valves/details/axp3573","AXP3573")</f>
        <v>AXP3573</v>
      </c>
      <c r="B2448" s="6" t="s">
        <v>2419</v>
      </c>
    </row>
    <row r="2449" spans="1:2" x14ac:dyDescent="0.3">
      <c r="A2449" s="7" t="str">
        <f>HYPERLINK("http://www.eatonpowersource.com/products/configure/screw-in%20cartridge%20valves/details/axp3974-sale","AXP3974-SALE")</f>
        <v>AXP3974-SALE</v>
      </c>
      <c r="B2449" s="8" t="s">
        <v>2420</v>
      </c>
    </row>
    <row r="2450" spans="1:2" x14ac:dyDescent="0.3">
      <c r="A2450" s="5" t="str">
        <f>HYPERLINK("http://www.eatonpowersource.com/products/configure/screw-in%20cartridge%20valves/details/axp4130-sale","AXP4130-SALE")</f>
        <v>AXP4130-SALE</v>
      </c>
      <c r="B2450" s="6" t="s">
        <v>2421</v>
      </c>
    </row>
    <row r="2451" spans="1:2" x14ac:dyDescent="0.3">
      <c r="A2451" s="7" t="str">
        <f>HYPERLINK("http://www.eatonpowersource.com/products/configure/screw-in%20cartridge%20valves/details/axp5578","AXP5578")</f>
        <v>AXP5578</v>
      </c>
      <c r="B2451" s="8" t="s">
        <v>2422</v>
      </c>
    </row>
    <row r="2452" spans="1:2" x14ac:dyDescent="0.3">
      <c r="A2452" s="5" t="str">
        <f>HYPERLINK("http://www.eatonpowersource.com/products/configure/screw-in%20cartridge%20valves/details/axp5668-sale","AXP5668-SALE")</f>
        <v>AXP5668-SALE</v>
      </c>
      <c r="B2452" s="6" t="s">
        <v>2423</v>
      </c>
    </row>
    <row r="2453" spans="1:2" x14ac:dyDescent="0.3">
      <c r="A2453" s="7" t="str">
        <f>HYPERLINK("http://www.eatonpowersource.com/products/configure/screw-in%20cartridge%20valves/details/axp5669-sale","AXP5669-SALE")</f>
        <v>AXP5669-SALE</v>
      </c>
      <c r="B2453" s="8" t="s">
        <v>2424</v>
      </c>
    </row>
    <row r="2454" spans="1:2" x14ac:dyDescent="0.3">
      <c r="A2454" s="5" t="str">
        <f>HYPERLINK("http://www.eatonpowersource.com/products/configure/screw-in%20cartridge%20valves/details/axp6933-sale","AXP6933-SALE")</f>
        <v>AXP6933-SALE</v>
      </c>
      <c r="B2454" s="6" t="s">
        <v>2425</v>
      </c>
    </row>
    <row r="2455" spans="1:2" x14ac:dyDescent="0.3">
      <c r="A2455" s="7" t="str">
        <f>HYPERLINK("http://www.eatonpowersource.com/products/configure/screw-in%20cartridge%20valves/details/axp6934-sale","AXP6934-SALE")</f>
        <v>AXP6934-SALE</v>
      </c>
      <c r="B2455" s="8" t="s">
        <v>2426</v>
      </c>
    </row>
    <row r="2456" spans="1:2" x14ac:dyDescent="0.3">
      <c r="A2456" s="5" t="str">
        <f>HYPERLINK("http://www.eatonpowersource.com/products/configure/screw-in%20cartridge%20valves/details/axp8115-sale","AXP8115-SALE")</f>
        <v>AXP8115-SALE</v>
      </c>
      <c r="B2456" s="6" t="s">
        <v>2427</v>
      </c>
    </row>
    <row r="2457" spans="1:2" x14ac:dyDescent="0.3">
      <c r="A2457" s="7" t="str">
        <f>HYPERLINK("http://www.eatonpowersource.com/products/configure/screw-in%20cartridge%20valves/details/axp8117-sale","AXP8117-SALE")</f>
        <v>AXP8117-SALE</v>
      </c>
      <c r="B2457" s="8" t="s">
        <v>2428</v>
      </c>
    </row>
    <row r="2458" spans="1:2" x14ac:dyDescent="0.3">
      <c r="A2458" s="5" t="str">
        <f>HYPERLINK("http://www.eatonpowersource.com/products/configure/screw-in%20cartridge%20valves/details/axp8590","AXP8590")</f>
        <v>AXP8590</v>
      </c>
      <c r="B2458" s="6" t="s">
        <v>2429</v>
      </c>
    </row>
    <row r="2459" spans="1:2" x14ac:dyDescent="0.3">
      <c r="A2459" s="7" t="str">
        <f>HYPERLINK("http://www.eatonpowersource.com/products/configure/screw-in%20cartridge%20valves/details/axp8591","AXP8591")</f>
        <v>AXP8591</v>
      </c>
      <c r="B2459" s="8" t="s">
        <v>2430</v>
      </c>
    </row>
    <row r="2460" spans="1:2" x14ac:dyDescent="0.3">
      <c r="A2460" s="5" t="str">
        <f>HYPERLINK("http://www.eatonpowersource.com/products/configure/screw-in%20cartridge%20valves/details/axp8961-sale","AXP8961-SALE")</f>
        <v>AXP8961-SALE</v>
      </c>
      <c r="B2460" s="6" t="s">
        <v>2431</v>
      </c>
    </row>
    <row r="2461" spans="1:2" x14ac:dyDescent="0.3">
      <c r="A2461" s="7" t="str">
        <f>HYPERLINK("http://www.eatonpowersource.com/products/configure/screw-in%20cartridge%20valves/details/axp8962-sale","AXP8962-SALE")</f>
        <v>AXP8962-SALE</v>
      </c>
      <c r="B2461" s="8" t="s">
        <v>2432</v>
      </c>
    </row>
    <row r="2462" spans="1:2" x14ac:dyDescent="0.3">
      <c r="A2462" s="5" t="str">
        <f>HYPERLINK("http://www.eatonpowersource.com/products/configure/screw-in%20cartridge%20valves/details/axp8966-sale","AXP8966-SALE")</f>
        <v>AXP8966-SALE</v>
      </c>
      <c r="B2462" s="6" t="s">
        <v>2433</v>
      </c>
    </row>
    <row r="2463" spans="1:2" x14ac:dyDescent="0.3">
      <c r="A2463" s="7" t="str">
        <f>HYPERLINK("http://www.eatonpowersource.com/products/configure/screw-in%20cartridge%20valves/details/axp8967-sale","AXP8967-SALE")</f>
        <v>AXP8967-SALE</v>
      </c>
      <c r="B2463" s="8" t="s">
        <v>2434</v>
      </c>
    </row>
    <row r="2464" spans="1:2" x14ac:dyDescent="0.3">
      <c r="A2464" s="5" t="str">
        <f>HYPERLINK("http://www.eatonpowersource.com/products/configure/screw-in%20cartridge%20valves/details/bxp15187-6","BXP15187-6")</f>
        <v>BXP15187-6</v>
      </c>
      <c r="B2464" s="6" t="s">
        <v>2435</v>
      </c>
    </row>
    <row r="2465" spans="1:2" x14ac:dyDescent="0.3">
      <c r="A2465" s="7" t="str">
        <f>HYPERLINK("http://www.eatonpowersource.com/products/configure/screw-in%20cartridge%20valves/details/bxp15187-8","BXP15187-8")</f>
        <v>BXP15187-8</v>
      </c>
      <c r="B2465" s="8" t="s">
        <v>2436</v>
      </c>
    </row>
    <row r="2466" spans="1:2" x14ac:dyDescent="0.3">
      <c r="A2466" s="5" t="str">
        <f>HYPERLINK("http://www.eatonpowersource.com/products/configure/screw-in%20cartridge%20valves/details/02-160644","02-160644")</f>
        <v>02-160644</v>
      </c>
      <c r="B2466" s="6" t="s">
        <v>2437</v>
      </c>
    </row>
    <row r="2467" spans="1:2" x14ac:dyDescent="0.3">
      <c r="A2467" s="7" t="str">
        <f>HYPERLINK("http://www.eatonpowersource.com/products/configure/screw-in%20cartridge%20valves/details/02-160727","02-160727")</f>
        <v>02-160727</v>
      </c>
      <c r="B2467" s="8" t="s">
        <v>2438</v>
      </c>
    </row>
    <row r="2468" spans="1:2" x14ac:dyDescent="0.3">
      <c r="A2468" s="5" t="str">
        <f>HYPERLINK("http://www.eatonpowersource.com/products/configure/screw-in%20cartridge%20valves/details/02-160728","02-160728")</f>
        <v>02-160728</v>
      </c>
      <c r="B2468" s="6" t="s">
        <v>2439</v>
      </c>
    </row>
    <row r="2469" spans="1:2" x14ac:dyDescent="0.3">
      <c r="A2469" s="7" t="str">
        <f>HYPERLINK("http://www.eatonpowersource.com/products/configure/screw-in%20cartridge%20valves/details/02-160731","02-160731")</f>
        <v>02-160731</v>
      </c>
      <c r="B2469" s="8" t="s">
        <v>2440</v>
      </c>
    </row>
    <row r="2470" spans="1:2" x14ac:dyDescent="0.3">
      <c r="A2470" s="5" t="str">
        <f>HYPERLINK("http://www.eatonpowersource.com/products/configure/screw-in%20cartridge%20valves/details/02-160732","02-160732")</f>
        <v>02-160732</v>
      </c>
      <c r="B2470" s="6" t="s">
        <v>2441</v>
      </c>
    </row>
    <row r="2471" spans="1:2" x14ac:dyDescent="0.3">
      <c r="A2471" s="7" t="str">
        <f>HYPERLINK("http://www.eatonpowersource.com/products/configure/screw-in%20cartridge%20valves/details/02-160739","02-160739")</f>
        <v>02-160739</v>
      </c>
      <c r="B2471" s="8" t="s">
        <v>2442</v>
      </c>
    </row>
    <row r="2472" spans="1:2" x14ac:dyDescent="0.3">
      <c r="A2472" s="5" t="str">
        <f>HYPERLINK("http://www.eatonpowersource.com/products/configure/screw-in%20cartridge%20valves/details/02-160740","02-160740")</f>
        <v>02-160740</v>
      </c>
      <c r="B2472" s="6" t="s">
        <v>2443</v>
      </c>
    </row>
    <row r="2473" spans="1:2" x14ac:dyDescent="0.3">
      <c r="A2473" s="7" t="str">
        <f>HYPERLINK("http://www.eatonpowersource.com/products/configure/screw-in%20cartridge%20valves/details/02-160742","02-160742")</f>
        <v>02-160742</v>
      </c>
      <c r="B2473" s="8" t="s">
        <v>2444</v>
      </c>
    </row>
    <row r="2474" spans="1:2" x14ac:dyDescent="0.3">
      <c r="A2474" s="5" t="str">
        <f>HYPERLINK("http://www.eatonpowersource.com/products/configure/screw-in%20cartridge%20valves/details/02-160747","02-160747")</f>
        <v>02-160747</v>
      </c>
      <c r="B2474" s="6" t="s">
        <v>2445</v>
      </c>
    </row>
    <row r="2475" spans="1:2" x14ac:dyDescent="0.3">
      <c r="A2475" s="7" t="str">
        <f>HYPERLINK("http://www.eatonpowersource.com/products/configure/screw-in%20cartridge%20valves/details/02-160748","02-160748")</f>
        <v>02-160748</v>
      </c>
      <c r="B2475" s="8" t="s">
        <v>2446</v>
      </c>
    </row>
    <row r="2476" spans="1:2" x14ac:dyDescent="0.3">
      <c r="A2476" s="5" t="str">
        <f>HYPERLINK("http://www.eatonpowersource.com/products/configure/screw-in%20cartridge%20valves/details/02-160994","02-160994")</f>
        <v>02-160994</v>
      </c>
      <c r="B2476" s="6" t="s">
        <v>2447</v>
      </c>
    </row>
    <row r="2477" spans="1:2" x14ac:dyDescent="0.3">
      <c r="A2477" s="7" t="str">
        <f>HYPERLINK("http://www.eatonpowersource.com/products/configure/screw-in%20cartridge%20valves/details/02-160995","02-160995")</f>
        <v>02-160995</v>
      </c>
      <c r="B2477" s="8" t="s">
        <v>2448</v>
      </c>
    </row>
    <row r="2478" spans="1:2" x14ac:dyDescent="0.3">
      <c r="A2478" s="5" t="str">
        <f>HYPERLINK("http://www.eatonpowersource.com/products/configure/screw-in%20cartridge%20valves/details/02-161115","02-161115")</f>
        <v>02-161115</v>
      </c>
      <c r="B2478" s="6" t="s">
        <v>2449</v>
      </c>
    </row>
    <row r="2479" spans="1:2" x14ac:dyDescent="0.3">
      <c r="A2479" s="7" t="str">
        <f>HYPERLINK("http://www.eatonpowersource.com/products/configure/screw-in%20cartridge%20valves/details/02-161117","02-161117")</f>
        <v>02-161117</v>
      </c>
      <c r="B2479" s="8" t="s">
        <v>2450</v>
      </c>
    </row>
    <row r="2480" spans="1:2" x14ac:dyDescent="0.3">
      <c r="A2480" s="5" t="str">
        <f>HYPERLINK("http://www.eatonpowersource.com/products/configure/screw-in%20cartridge%20valves/details/02-161118","02-161118")</f>
        <v>02-161118</v>
      </c>
      <c r="B2480" s="6" t="s">
        <v>2451</v>
      </c>
    </row>
    <row r="2481" spans="1:2" x14ac:dyDescent="0.3">
      <c r="A2481" s="7" t="str">
        <f>HYPERLINK("http://www.eatonpowersource.com/products/configure/screw-in%20cartridge%20valves/details/02-161816","02-161816")</f>
        <v>02-161816</v>
      </c>
      <c r="B2481" s="8" t="s">
        <v>2452</v>
      </c>
    </row>
    <row r="2482" spans="1:2" x14ac:dyDescent="0.3">
      <c r="A2482" s="5" t="str">
        <f>HYPERLINK("http://www.eatonpowersource.com/products/configure/screw-in%20cartridge%20valves/details/02-161817","02-161817")</f>
        <v>02-161817</v>
      </c>
      <c r="B2482" s="6" t="s">
        <v>2453</v>
      </c>
    </row>
    <row r="2483" spans="1:2" x14ac:dyDescent="0.3">
      <c r="A2483" s="7" t="str">
        <f>HYPERLINK("http://www.eatonpowersource.com/products/configure/screw-in%20cartridge%20valves/details/02-163324","02-163324")</f>
        <v>02-163324</v>
      </c>
      <c r="B2483" s="8" t="s">
        <v>2454</v>
      </c>
    </row>
    <row r="2484" spans="1:2" x14ac:dyDescent="0.3">
      <c r="A2484" s="5" t="str">
        <f>HYPERLINK("http://www.eatonpowersource.com/products/configure/screw-in%20cartridge%20valves/details/02-172324","02-172324")</f>
        <v>02-172324</v>
      </c>
      <c r="B2484" s="6" t="s">
        <v>2455</v>
      </c>
    </row>
    <row r="2485" spans="1:2" x14ac:dyDescent="0.3">
      <c r="A2485" s="7" t="str">
        <f>HYPERLINK("http://www.eatonpowersource.com/products/configure/screw-in%20cartridge%20valves/details/02-173358","02-173358")</f>
        <v>02-173358</v>
      </c>
      <c r="B2485" s="8" t="s">
        <v>2456</v>
      </c>
    </row>
    <row r="2486" spans="1:2" x14ac:dyDescent="0.3">
      <c r="A2486" s="5" t="str">
        <f>HYPERLINK("http://www.eatonpowersource.com/products/configure/screw-in%20cartridge%20valves/details/02-175462","02-175462")</f>
        <v>02-175462</v>
      </c>
      <c r="B2486" s="6" t="s">
        <v>2457</v>
      </c>
    </row>
    <row r="2487" spans="1:2" x14ac:dyDescent="0.3">
      <c r="A2487" s="7" t="str">
        <f>HYPERLINK("http://www.eatonpowersource.com/products/configure/screw-in%20cartridge%20valves/details/02-175463","02-175463")</f>
        <v>02-175463</v>
      </c>
      <c r="B2487" s="8" t="s">
        <v>2458</v>
      </c>
    </row>
    <row r="2488" spans="1:2" x14ac:dyDescent="0.3">
      <c r="A2488" s="5" t="str">
        <f>HYPERLINK("http://www.eatonpowersource.com/products/configure/screw-in%20cartridge%20valves/details/02-175464","02-175464")</f>
        <v>02-175464</v>
      </c>
      <c r="B2488" s="6" t="s">
        <v>2459</v>
      </c>
    </row>
    <row r="2489" spans="1:2" x14ac:dyDescent="0.3">
      <c r="A2489" s="7" t="str">
        <f>HYPERLINK("http://www.eatonpowersource.com/products/configure/screw-in%20cartridge%20valves/details/02-175465","02-175465")</f>
        <v>02-175465</v>
      </c>
      <c r="B2489" s="8" t="s">
        <v>2460</v>
      </c>
    </row>
    <row r="2490" spans="1:2" x14ac:dyDescent="0.3">
      <c r="A2490" s="5" t="str">
        <f>HYPERLINK("http://www.eatonpowersource.com/products/configure/screw-in%20cartridge%20valves/details/02-175467","02-175467")</f>
        <v>02-175467</v>
      </c>
      <c r="B2490" s="6" t="s">
        <v>2461</v>
      </c>
    </row>
    <row r="2491" spans="1:2" x14ac:dyDescent="0.3">
      <c r="A2491" s="7" t="str">
        <f>HYPERLINK("http://www.eatonpowersource.com/products/configure/screw-in%20cartridge%20valves/details/02-175468","02-175468")</f>
        <v>02-175468</v>
      </c>
      <c r="B2491" s="8" t="s">
        <v>2462</v>
      </c>
    </row>
    <row r="2492" spans="1:2" x14ac:dyDescent="0.3">
      <c r="A2492" s="5" t="str">
        <f>HYPERLINK("http://www.eatonpowersource.com/products/configure/screw-in%20cartridge%20valves/details/02-175470","02-175470")</f>
        <v>02-175470</v>
      </c>
      <c r="B2492" s="6" t="s">
        <v>2463</v>
      </c>
    </row>
    <row r="2493" spans="1:2" x14ac:dyDescent="0.3">
      <c r="A2493" s="7" t="str">
        <f>HYPERLINK("http://www.eatonpowersource.com/products/configure/screw-in%20cartridge%20valves/details/02-177603","02-177603")</f>
        <v>02-177603</v>
      </c>
      <c r="B2493" s="8" t="s">
        <v>2464</v>
      </c>
    </row>
    <row r="2494" spans="1:2" x14ac:dyDescent="0.3">
      <c r="A2494" s="5" t="str">
        <f>HYPERLINK("http://www.eatonpowersource.com/products/configure/screw-in%20cartridge%20valves/details/02-178269","02-178269")</f>
        <v>02-178269</v>
      </c>
      <c r="B2494" s="6" t="s">
        <v>2465</v>
      </c>
    </row>
    <row r="2495" spans="1:2" x14ac:dyDescent="0.3">
      <c r="A2495" s="7" t="str">
        <f>HYPERLINK("http://www.eatonpowersource.com/products/configure/screw-in%20cartridge%20valves/details/02-178270","02-178270")</f>
        <v>02-178270</v>
      </c>
      <c r="B2495" s="8" t="s">
        <v>2466</v>
      </c>
    </row>
    <row r="2496" spans="1:2" x14ac:dyDescent="0.3">
      <c r="A2496" s="5" t="str">
        <f>HYPERLINK("http://www.eatonpowersource.com/products/configure/screw-in%20cartridge%20valves/details/02-178308","02-178308")</f>
        <v>02-178308</v>
      </c>
      <c r="B2496" s="6" t="s">
        <v>2467</v>
      </c>
    </row>
    <row r="2497" spans="1:2" x14ac:dyDescent="0.3">
      <c r="A2497" s="7" t="str">
        <f>HYPERLINK("http://www.eatonpowersource.com/products/configure/screw-in%20cartridge%20valves/details/02-178310","02-178310")</f>
        <v>02-178310</v>
      </c>
      <c r="B2497" s="8" t="s">
        <v>2468</v>
      </c>
    </row>
    <row r="2498" spans="1:2" x14ac:dyDescent="0.3">
      <c r="A2498" s="5" t="str">
        <f>HYPERLINK("http://www.eatonpowersource.com/products/configure/screw-in%20cartridge%20valves/details/02-179705","02-179705")</f>
        <v>02-179705</v>
      </c>
      <c r="B2498" s="6" t="s">
        <v>2469</v>
      </c>
    </row>
    <row r="2499" spans="1:2" x14ac:dyDescent="0.3">
      <c r="A2499" s="7" t="str">
        <f>HYPERLINK("http://www.eatonpowersource.com/products/configure/screw-in%20cartridge%20valves/details/02-185340","02-185340")</f>
        <v>02-185340</v>
      </c>
      <c r="B2499" s="8" t="s">
        <v>2470</v>
      </c>
    </row>
    <row r="2500" spans="1:2" x14ac:dyDescent="0.3">
      <c r="A2500" s="5" t="str">
        <f>HYPERLINK("http://www.eatonpowersource.com/products/configure/screw-in%20cartridge%20valves/details/02-185341","02-185341")</f>
        <v>02-185341</v>
      </c>
      <c r="B2500" s="6" t="s">
        <v>2471</v>
      </c>
    </row>
    <row r="2501" spans="1:2" x14ac:dyDescent="0.3">
      <c r="A2501" s="7" t="str">
        <f>HYPERLINK("http://www.eatonpowersource.com/products/configure/screw-in%20cartridge%20valves/details/02-185342","02-185342")</f>
        <v>02-185342</v>
      </c>
      <c r="B2501" s="8" t="s">
        <v>2472</v>
      </c>
    </row>
    <row r="2502" spans="1:2" x14ac:dyDescent="0.3">
      <c r="A2502" s="5" t="str">
        <f>HYPERLINK("http://www.eatonpowersource.com/products/configure/screw-in%20cartridge%20valves/details/02-185343","02-185343")</f>
        <v>02-185343</v>
      </c>
      <c r="B2502" s="6" t="s">
        <v>2473</v>
      </c>
    </row>
    <row r="2503" spans="1:2" x14ac:dyDescent="0.3">
      <c r="A2503" s="7" t="str">
        <f>HYPERLINK("http://www.eatonpowersource.com/products/configure/screw-in%20cartridge%20valves/details/02-185344","02-185344")</f>
        <v>02-185344</v>
      </c>
      <c r="B2503" s="8" t="s">
        <v>2474</v>
      </c>
    </row>
    <row r="2504" spans="1:2" x14ac:dyDescent="0.3">
      <c r="A2504" s="5" t="str">
        <f>HYPERLINK("http://www.eatonpowersource.com/products/configure/screw-in%20cartridge%20valves/details/02-185349","02-185349")</f>
        <v>02-185349</v>
      </c>
      <c r="B2504" s="6" t="s">
        <v>2475</v>
      </c>
    </row>
    <row r="2505" spans="1:2" x14ac:dyDescent="0.3">
      <c r="A2505" s="7" t="str">
        <f>HYPERLINK("http://www.eatonpowersource.com/products/configure/screw-in%20cartridge%20valves/details/02-185350","02-185350")</f>
        <v>02-185350</v>
      </c>
      <c r="B2505" s="8" t="s">
        <v>2476</v>
      </c>
    </row>
    <row r="2506" spans="1:2" x14ac:dyDescent="0.3">
      <c r="A2506" s="5" t="str">
        <f>HYPERLINK("http://www.eatonpowersource.com/products/configure/screw-in%20cartridge%20valves/details/02-185351","02-185351")</f>
        <v>02-185351</v>
      </c>
      <c r="B2506" s="6" t="s">
        <v>2477</v>
      </c>
    </row>
    <row r="2507" spans="1:2" x14ac:dyDescent="0.3">
      <c r="A2507" s="7" t="str">
        <f>HYPERLINK("http://www.eatonpowersource.com/products/configure/screw-in%20cartridge%20valves/details/02-185352","02-185352")</f>
        <v>02-185352</v>
      </c>
      <c r="B2507" s="8" t="s">
        <v>2478</v>
      </c>
    </row>
    <row r="2508" spans="1:2" x14ac:dyDescent="0.3">
      <c r="A2508" s="5" t="str">
        <f>HYPERLINK("http://www.eatonpowersource.com/products/configure/screw-in%20cartridge%20valves/details/02-185353","02-185353")</f>
        <v>02-185353</v>
      </c>
      <c r="B2508" s="6" t="s">
        <v>2479</v>
      </c>
    </row>
    <row r="2509" spans="1:2" x14ac:dyDescent="0.3">
      <c r="A2509" s="7" t="str">
        <f>HYPERLINK("http://www.eatonpowersource.com/products/configure/screw-in%20cartridge%20valves/details/02-185354","02-185354")</f>
        <v>02-185354</v>
      </c>
      <c r="B2509" s="8" t="s">
        <v>2480</v>
      </c>
    </row>
    <row r="2510" spans="1:2" x14ac:dyDescent="0.3">
      <c r="A2510" s="5" t="str">
        <f>HYPERLINK("http://www.eatonpowersource.com/products/configure/screw-in%20cartridge%20valves/details/02-185361","02-185361")</f>
        <v>02-185361</v>
      </c>
      <c r="B2510" s="6" t="s">
        <v>2481</v>
      </c>
    </row>
    <row r="2511" spans="1:2" x14ac:dyDescent="0.3">
      <c r="A2511" s="7" t="str">
        <f>HYPERLINK("http://www.eatonpowersource.com/products/configure/screw-in%20cartridge%20valves/details/02-185362","02-185362")</f>
        <v>02-185362</v>
      </c>
      <c r="B2511" s="8" t="s">
        <v>2482</v>
      </c>
    </row>
    <row r="2512" spans="1:2" x14ac:dyDescent="0.3">
      <c r="A2512" s="5" t="str">
        <f>HYPERLINK("http://www.eatonpowersource.com/products/configure/screw-in%20cartridge%20valves/details/02-185363","02-185363")</f>
        <v>02-185363</v>
      </c>
      <c r="B2512" s="6" t="s">
        <v>2483</v>
      </c>
    </row>
    <row r="2513" spans="1:2" x14ac:dyDescent="0.3">
      <c r="A2513" s="7" t="str">
        <f>HYPERLINK("http://www.eatonpowersource.com/products/configure/screw-in%20cartridge%20valves/details/02-185365","02-185365")</f>
        <v>02-185365</v>
      </c>
      <c r="B2513" s="8" t="s">
        <v>2484</v>
      </c>
    </row>
    <row r="2514" spans="1:2" x14ac:dyDescent="0.3">
      <c r="A2514" s="5" t="str">
        <f>HYPERLINK("http://www.eatonpowersource.com/products/configure/screw-in%20cartridge%20valves/details/02-185366","02-185366")</f>
        <v>02-185366</v>
      </c>
      <c r="B2514" s="6" t="s">
        <v>2485</v>
      </c>
    </row>
    <row r="2515" spans="1:2" x14ac:dyDescent="0.3">
      <c r="A2515" s="7" t="str">
        <f>HYPERLINK("http://www.eatonpowersource.com/products/configure/screw-in%20cartridge%20valves/details/02-185367","02-185367")</f>
        <v>02-185367</v>
      </c>
      <c r="B2515" s="8" t="s">
        <v>2486</v>
      </c>
    </row>
    <row r="2516" spans="1:2" x14ac:dyDescent="0.3">
      <c r="A2516" s="5" t="str">
        <f>HYPERLINK("http://www.eatonpowersource.com/products/configure/screw-in%20cartridge%20valves/details/02-185368","02-185368")</f>
        <v>02-185368</v>
      </c>
      <c r="B2516" s="6" t="s">
        <v>2487</v>
      </c>
    </row>
    <row r="2517" spans="1:2" x14ac:dyDescent="0.3">
      <c r="A2517" s="7" t="str">
        <f>HYPERLINK("http://www.eatonpowersource.com/products/configure/screw-in%20cartridge%20valves/details/02-185369","02-185369")</f>
        <v>02-185369</v>
      </c>
      <c r="B2517" s="8" t="s">
        <v>2488</v>
      </c>
    </row>
    <row r="2518" spans="1:2" x14ac:dyDescent="0.3">
      <c r="A2518" s="5" t="str">
        <f>HYPERLINK("http://www.eatonpowersource.com/products/configure/screw-in%20cartridge%20valves/details/02-185370","02-185370")</f>
        <v>02-185370</v>
      </c>
      <c r="B2518" s="6" t="s">
        <v>2489</v>
      </c>
    </row>
    <row r="2519" spans="1:2" x14ac:dyDescent="0.3">
      <c r="A2519" s="7" t="str">
        <f>HYPERLINK("http://www.eatonpowersource.com/products/configure/screw-in%20cartridge%20valves/details/02-185371","02-185371")</f>
        <v>02-185371</v>
      </c>
      <c r="B2519" s="8" t="s">
        <v>2490</v>
      </c>
    </row>
    <row r="2520" spans="1:2" x14ac:dyDescent="0.3">
      <c r="A2520" s="5" t="str">
        <f>HYPERLINK("http://www.eatonpowersource.com/products/configure/screw-in%20cartridge%20valves/details/02-185373","02-185373")</f>
        <v>02-185373</v>
      </c>
      <c r="B2520" s="6" t="s">
        <v>2491</v>
      </c>
    </row>
    <row r="2521" spans="1:2" x14ac:dyDescent="0.3">
      <c r="A2521" s="7" t="str">
        <f>HYPERLINK("http://www.eatonpowersource.com/products/configure/screw-in%20cartridge%20valves/details/02-185375","02-185375")</f>
        <v>02-185375</v>
      </c>
      <c r="B2521" s="8" t="s">
        <v>2492</v>
      </c>
    </row>
    <row r="2522" spans="1:2" x14ac:dyDescent="0.3">
      <c r="A2522" s="5" t="str">
        <f>HYPERLINK("http://www.eatonpowersource.com/products/configure/screw-in%20cartridge%20valves/details/02-185376","02-185376")</f>
        <v>02-185376</v>
      </c>
      <c r="B2522" s="6" t="s">
        <v>2493</v>
      </c>
    </row>
    <row r="2523" spans="1:2" x14ac:dyDescent="0.3">
      <c r="A2523" s="7" t="str">
        <f>HYPERLINK("http://www.eatonpowersource.com/products/configure/screw-in%20cartridge%20valves/details/02-185381","02-185381")</f>
        <v>02-185381</v>
      </c>
      <c r="B2523" s="8" t="s">
        <v>2481</v>
      </c>
    </row>
    <row r="2524" spans="1:2" x14ac:dyDescent="0.3">
      <c r="A2524" s="5" t="str">
        <f>HYPERLINK("http://www.eatonpowersource.com/products/configure/screw-in%20cartridge%20valves/details/02-185382","02-185382")</f>
        <v>02-185382</v>
      </c>
      <c r="B2524" s="6" t="s">
        <v>2494</v>
      </c>
    </row>
    <row r="2525" spans="1:2" x14ac:dyDescent="0.3">
      <c r="A2525" s="7" t="str">
        <f>HYPERLINK("http://www.eatonpowersource.com/products/configure/screw-in%20cartridge%20valves/details/02-185449","02-185449")</f>
        <v>02-185449</v>
      </c>
      <c r="B2525" s="8" t="s">
        <v>2495</v>
      </c>
    </row>
    <row r="2526" spans="1:2" x14ac:dyDescent="0.3">
      <c r="A2526" s="5" t="str">
        <f>HYPERLINK("http://www.eatonpowersource.com/products/configure/screw-in%20cartridge%20valves/details/02-185804","02-185804")</f>
        <v>02-185804</v>
      </c>
      <c r="B2526" s="6" t="s">
        <v>2496</v>
      </c>
    </row>
    <row r="2527" spans="1:2" x14ac:dyDescent="0.3">
      <c r="A2527" s="7" t="str">
        <f>HYPERLINK("http://www.eatonpowersource.com/products/configure/screw-in%20cartridge%20valves/details/02-185805","02-185805")</f>
        <v>02-185805</v>
      </c>
      <c r="B2527" s="8" t="s">
        <v>2461</v>
      </c>
    </row>
    <row r="2528" spans="1:2" x14ac:dyDescent="0.3">
      <c r="A2528" s="5" t="str">
        <f>HYPERLINK("http://www.eatonpowersource.com/products/configure/screw-in%20cartridge%20valves/details/407aa03227a","407AA03227A")</f>
        <v>407AA03227A</v>
      </c>
      <c r="B2528" s="6" t="s">
        <v>2497</v>
      </c>
    </row>
    <row r="2529" spans="1:2" x14ac:dyDescent="0.3">
      <c r="A2529" s="7" t="str">
        <f>HYPERLINK("http://www.eatonpowersource.com/products/configure/screw-in%20cartridge%20valves/details/566113","566113")</f>
        <v>566113</v>
      </c>
      <c r="B2529" s="8" t="s">
        <v>2498</v>
      </c>
    </row>
    <row r="2530" spans="1:2" x14ac:dyDescent="0.3">
      <c r="A2530" s="5" t="str">
        <f>HYPERLINK("http://www.eatonpowersource.com/products/configure/screw-in%20cartridge%20valves/details/566149","566149")</f>
        <v>566149</v>
      </c>
      <c r="B2530" s="6" t="s">
        <v>2499</v>
      </c>
    </row>
    <row r="2531" spans="1:2" x14ac:dyDescent="0.3">
      <c r="A2531" s="7" t="str">
        <f>HYPERLINK("http://www.eatonpowersource.com/products/configure/screw-in%20cartridge%20valves/details/566150","566150")</f>
        <v>566150</v>
      </c>
      <c r="B2531" s="8" t="s">
        <v>2500</v>
      </c>
    </row>
    <row r="2532" spans="1:2" x14ac:dyDescent="0.3">
      <c r="A2532" s="5" t="str">
        <f>HYPERLINK("http://www.eatonpowersource.com/products/configure/screw-in%20cartridge%20valves/details/566151","566151")</f>
        <v>566151</v>
      </c>
      <c r="B2532" s="6" t="s">
        <v>2501</v>
      </c>
    </row>
    <row r="2533" spans="1:2" x14ac:dyDescent="0.3">
      <c r="A2533" s="7" t="str">
        <f>HYPERLINK("http://www.eatonpowersource.com/products/configure/screw-in%20cartridge%20valves/details/566162","566162")</f>
        <v>566162</v>
      </c>
      <c r="B2533" s="8" t="s">
        <v>2502</v>
      </c>
    </row>
    <row r="2534" spans="1:2" x14ac:dyDescent="0.3">
      <c r="A2534" s="5" t="str">
        <f>HYPERLINK("http://www.eatonpowersource.com/products/configure/screw-in%20cartridge%20valves/details/566189","566189")</f>
        <v>566189</v>
      </c>
      <c r="B2534" s="6" t="s">
        <v>2503</v>
      </c>
    </row>
    <row r="2535" spans="1:2" x14ac:dyDescent="0.3">
      <c r="A2535" s="7" t="str">
        <f>HYPERLINK("http://www.eatonpowersource.com/products/configure/screw-in%20cartridge%20valves/details/566234","566234")</f>
        <v>566234</v>
      </c>
      <c r="B2535" s="8" t="s">
        <v>2504</v>
      </c>
    </row>
    <row r="2536" spans="1:2" x14ac:dyDescent="0.3">
      <c r="A2536" s="5" t="str">
        <f>HYPERLINK("http://www.eatonpowersource.com/products/configure/screw-in%20cartridge%20valves/details/566409","566409")</f>
        <v>566409</v>
      </c>
      <c r="B2536" s="6" t="s">
        <v>2505</v>
      </c>
    </row>
    <row r="2537" spans="1:2" x14ac:dyDescent="0.3">
      <c r="A2537" s="7" t="str">
        <f>HYPERLINK("http://www.eatonpowersource.com/products/configure/screw-in%20cartridge%20valves/details/566413","566413")</f>
        <v>566413</v>
      </c>
      <c r="B2537" s="8" t="s">
        <v>2506</v>
      </c>
    </row>
    <row r="2538" spans="1:2" x14ac:dyDescent="0.3">
      <c r="A2538" s="5" t="str">
        <f>HYPERLINK("http://www.eatonpowersource.com/products/configure/screw-in%20cartridge%20valves/details/566436","566436")</f>
        <v>566436</v>
      </c>
      <c r="B2538" s="6" t="s">
        <v>2507</v>
      </c>
    </row>
    <row r="2539" spans="1:2" x14ac:dyDescent="0.3">
      <c r="A2539" s="7" t="str">
        <f>HYPERLINK("http://www.eatonpowersource.com/products/configure/screw-in%20cartridge%20valves/details/5986432-001","5986432-001")</f>
        <v>5986432-001</v>
      </c>
      <c r="B2539" s="8" t="s">
        <v>2508</v>
      </c>
    </row>
    <row r="2540" spans="1:2" x14ac:dyDescent="0.3">
      <c r="A2540" s="5" t="str">
        <f>HYPERLINK("http://www.eatonpowersource.com/products/configure/screw-in%20cartridge%20valves/details/6025822-001","6025822-001")</f>
        <v>6025822-001</v>
      </c>
      <c r="B2540" s="6" t="s">
        <v>2509</v>
      </c>
    </row>
    <row r="2541" spans="1:2" x14ac:dyDescent="0.3">
      <c r="A2541" s="7" t="str">
        <f>HYPERLINK("http://www.eatonpowersource.com/products/configure/screw-in%20cartridge%20valves/details/876700","876700")</f>
        <v>876700</v>
      </c>
      <c r="B2541" s="8" t="s">
        <v>2510</v>
      </c>
    </row>
    <row r="2542" spans="1:2" x14ac:dyDescent="0.3">
      <c r="A2542" s="5" t="str">
        <f>HYPERLINK("http://www.eatonpowersource.com/products/configure/screw-in%20cartridge%20valves/details/876701","876701")</f>
        <v>876701</v>
      </c>
      <c r="B2542" s="6" t="s">
        <v>2511</v>
      </c>
    </row>
    <row r="2543" spans="1:2" x14ac:dyDescent="0.3">
      <c r="A2543" s="7" t="str">
        <f>HYPERLINK("http://www.eatonpowersource.com/products/configure/screw-in%20cartridge%20valves/details/876702","876702")</f>
        <v>876702</v>
      </c>
      <c r="B2543" s="8" t="s">
        <v>2512</v>
      </c>
    </row>
    <row r="2544" spans="1:2" x14ac:dyDescent="0.3">
      <c r="A2544" s="5" t="str">
        <f>HYPERLINK("http://www.eatonpowersource.com/products/configure/screw-in%20cartridge%20valves/details/876703","876703")</f>
        <v>876703</v>
      </c>
      <c r="B2544" s="6" t="s">
        <v>2513</v>
      </c>
    </row>
    <row r="2545" spans="1:2" x14ac:dyDescent="0.3">
      <c r="A2545" s="7" t="str">
        <f>HYPERLINK("http://www.eatonpowersource.com/products/configure/screw-in%20cartridge%20valves/details/876705","876705")</f>
        <v>876705</v>
      </c>
      <c r="B2545" s="8" t="s">
        <v>2514</v>
      </c>
    </row>
    <row r="2546" spans="1:2" x14ac:dyDescent="0.3">
      <c r="A2546" s="5" t="str">
        <f>HYPERLINK("http://www.eatonpowersource.com/products/configure/screw-in%20cartridge%20valves/details/876709","876709")</f>
        <v>876709</v>
      </c>
      <c r="B2546" s="6" t="s">
        <v>2515</v>
      </c>
    </row>
    <row r="2547" spans="1:2" x14ac:dyDescent="0.3">
      <c r="A2547" s="7" t="str">
        <f>HYPERLINK("http://www.eatonpowersource.com/products/configure/screw-in%20cartridge%20valves/details/876710","876710")</f>
        <v>876710</v>
      </c>
      <c r="B2547" s="8" t="s">
        <v>2516</v>
      </c>
    </row>
    <row r="2548" spans="1:2" x14ac:dyDescent="0.3">
      <c r="A2548" s="5" t="str">
        <f>HYPERLINK("http://www.eatonpowersource.com/products/configure/screw-in%20cartridge%20valves/details/876711","876711")</f>
        <v>876711</v>
      </c>
      <c r="B2548" s="6" t="s">
        <v>2517</v>
      </c>
    </row>
    <row r="2549" spans="1:2" x14ac:dyDescent="0.3">
      <c r="A2549" s="7" t="str">
        <f>HYPERLINK("http://www.eatonpowersource.com/products/configure/screw-in%20cartridge%20valves/details/876713","876713")</f>
        <v>876713</v>
      </c>
      <c r="B2549" s="8" t="s">
        <v>2518</v>
      </c>
    </row>
    <row r="2550" spans="1:2" x14ac:dyDescent="0.3">
      <c r="A2550" s="5" t="str">
        <f>HYPERLINK("http://www.eatonpowersource.com/products/configure/screw-in%20cartridge%20valves/details/876714","876714")</f>
        <v>876714</v>
      </c>
      <c r="B2550" s="6" t="s">
        <v>2519</v>
      </c>
    </row>
    <row r="2551" spans="1:2" x14ac:dyDescent="0.3">
      <c r="A2551" s="7" t="str">
        <f>HYPERLINK("http://www.eatonpowersource.com/products/configure/screw-in%20cartridge%20valves/details/876715","876715")</f>
        <v>876715</v>
      </c>
      <c r="B2551" s="8" t="s">
        <v>2520</v>
      </c>
    </row>
    <row r="2552" spans="1:2" x14ac:dyDescent="0.3">
      <c r="A2552" s="5" t="str">
        <f>HYPERLINK("http://www.eatonpowersource.com/products/configure/screw-in%20cartridge%20valves/details/876716","876716")</f>
        <v>876716</v>
      </c>
      <c r="B2552" s="6" t="s">
        <v>2521</v>
      </c>
    </row>
    <row r="2553" spans="1:2" x14ac:dyDescent="0.3">
      <c r="A2553" s="7" t="str">
        <f>HYPERLINK("http://www.eatonpowersource.com/products/configure/screw-in%20cartridge%20valves/details/876717","876717")</f>
        <v>876717</v>
      </c>
      <c r="B2553" s="8" t="s">
        <v>2522</v>
      </c>
    </row>
    <row r="2554" spans="1:2" x14ac:dyDescent="0.3">
      <c r="A2554" s="5" t="str">
        <f>HYPERLINK("http://www.eatonpowersource.com/products/configure/screw-in%20cartridge%20valves/details/876718","876718")</f>
        <v>876718</v>
      </c>
      <c r="B2554" s="6" t="s">
        <v>2523</v>
      </c>
    </row>
    <row r="2555" spans="1:2" x14ac:dyDescent="0.3">
      <c r="A2555" s="7" t="str">
        <f>HYPERLINK("http://www.eatonpowersource.com/products/configure/screw-in%20cartridge%20valves/details/876720","876720")</f>
        <v>876720</v>
      </c>
      <c r="B2555" s="8" t="s">
        <v>2524</v>
      </c>
    </row>
    <row r="2556" spans="1:2" x14ac:dyDescent="0.3">
      <c r="A2556" s="5" t="str">
        <f>HYPERLINK("http://www.eatonpowersource.com/products/configure/screw-in%20cartridge%20valves/details/876722","876722")</f>
        <v>876722</v>
      </c>
      <c r="B2556" s="6" t="s">
        <v>2525</v>
      </c>
    </row>
    <row r="2557" spans="1:2" x14ac:dyDescent="0.3">
      <c r="A2557" s="7" t="str">
        <f>HYPERLINK("http://www.eatonpowersource.com/products/configure/screw-in%20cartridge%20valves/details/876726","876726")</f>
        <v>876726</v>
      </c>
      <c r="B2557" s="8" t="s">
        <v>2526</v>
      </c>
    </row>
    <row r="2558" spans="1:2" x14ac:dyDescent="0.3">
      <c r="A2558" s="5" t="str">
        <f>HYPERLINK("http://www.eatonpowersource.com/products/configure/screw-in%20cartridge%20valves/details/876730","876730")</f>
        <v>876730</v>
      </c>
      <c r="B2558" s="6" t="s">
        <v>2527</v>
      </c>
    </row>
    <row r="2559" spans="1:2" x14ac:dyDescent="0.3">
      <c r="A2559" s="7" t="str">
        <f>HYPERLINK("http://www.eatonpowersource.com/products/configure/screw-in%20cartridge%20valves/details/876734","876734")</f>
        <v>876734</v>
      </c>
      <c r="B2559" s="8" t="s">
        <v>2528</v>
      </c>
    </row>
    <row r="2560" spans="1:2" x14ac:dyDescent="0.3">
      <c r="A2560" s="5" t="str">
        <f>HYPERLINK("http://www.eatonpowersource.com/products/configure/screw-in%20cartridge%20valves/details/876735","876735")</f>
        <v>876735</v>
      </c>
      <c r="B2560" s="6" t="s">
        <v>2529</v>
      </c>
    </row>
    <row r="2561" spans="1:2" x14ac:dyDescent="0.3">
      <c r="A2561" s="7" t="str">
        <f>HYPERLINK("http://www.eatonpowersource.com/products/configure/screw-in%20cartridge%20valves/details/876742","876742")</f>
        <v>876742</v>
      </c>
      <c r="B2561" s="8" t="s">
        <v>2530</v>
      </c>
    </row>
    <row r="2562" spans="1:2" x14ac:dyDescent="0.3">
      <c r="A2562" s="5" t="str">
        <f>HYPERLINK("http://www.eatonpowersource.com/products/configure/screw-in%20cartridge%20valves/details/a1043","A1043")</f>
        <v>A1043</v>
      </c>
      <c r="B2562" s="6" t="s">
        <v>2531</v>
      </c>
    </row>
    <row r="2563" spans="1:2" x14ac:dyDescent="0.3">
      <c r="A2563" s="7" t="str">
        <f>HYPERLINK("http://www.eatonpowersource.com/products/configure/screw-in%20cartridge%20valves/details/a12592","A12592")</f>
        <v>A12592</v>
      </c>
      <c r="B2563" s="8" t="s">
        <v>2532</v>
      </c>
    </row>
    <row r="2564" spans="1:2" x14ac:dyDescent="0.3">
      <c r="A2564" s="5" t="str">
        <f>HYPERLINK("http://www.eatonpowersource.com/products/configure/screw-in%20cartridge%20valves/details/a13758","A13758")</f>
        <v>A13758</v>
      </c>
      <c r="B2564" s="6" t="s">
        <v>2533</v>
      </c>
    </row>
    <row r="2565" spans="1:2" x14ac:dyDescent="0.3">
      <c r="A2565" s="7" t="str">
        <f>HYPERLINK("http://www.eatonpowersource.com/products/configure/screw-in%20cartridge%20valves/details/a1485","A1485")</f>
        <v>A1485</v>
      </c>
      <c r="B2565" s="8" t="s">
        <v>2534</v>
      </c>
    </row>
    <row r="2566" spans="1:2" x14ac:dyDescent="0.3">
      <c r="A2566" s="5" t="str">
        <f>HYPERLINK("http://www.eatonpowersource.com/products/configure/screw-in%20cartridge%20valves/details/a15676","A15676")</f>
        <v>A15676</v>
      </c>
      <c r="B2566" s="6" t="s">
        <v>2535</v>
      </c>
    </row>
    <row r="2567" spans="1:2" x14ac:dyDescent="0.3">
      <c r="A2567" s="7" t="str">
        <f>HYPERLINK("http://www.eatonpowersource.com/products/configure/screw-in%20cartridge%20valves/details/a5471","A5471")</f>
        <v>A5471</v>
      </c>
      <c r="B2567" s="8" t="s">
        <v>2536</v>
      </c>
    </row>
    <row r="2568" spans="1:2" x14ac:dyDescent="0.3">
      <c r="A2568" s="5" t="str">
        <f>HYPERLINK("http://www.eatonpowersource.com/products/configure/screw-in%20cartridge%20valves/details/a7450","A7450")</f>
        <v>A7450</v>
      </c>
      <c r="B2568" s="6" t="s">
        <v>2537</v>
      </c>
    </row>
    <row r="2569" spans="1:2" x14ac:dyDescent="0.3">
      <c r="A2569" s="7" t="str">
        <f>HYPERLINK("http://www.eatonpowersource.com/products/configure/screw-in%20cartridge%20valves/details/a8532","A8532")</f>
        <v>A8532</v>
      </c>
      <c r="B2569" s="8" t="s">
        <v>2538</v>
      </c>
    </row>
    <row r="2570" spans="1:2" x14ac:dyDescent="0.3">
      <c r="A2570" s="5" t="str">
        <f>HYPERLINK("http://www.eatonpowersource.com/products/configure/screw-in%20cartridge%20valves/details/axp13565-6ws","AXP13565-6WS")</f>
        <v>AXP13565-6WS</v>
      </c>
      <c r="B2570" s="6" t="s">
        <v>2539</v>
      </c>
    </row>
    <row r="2571" spans="1:2" x14ac:dyDescent="0.3">
      <c r="A2571" s="7" t="str">
        <f>HYPERLINK("http://www.eatonpowersource.com/products/configure/screw-in%20cartridge%20valves/details/axp13617-3w-377","AXP13617-3W-377")</f>
        <v>AXP13617-3W-377</v>
      </c>
      <c r="B2571" s="8" t="s">
        <v>2540</v>
      </c>
    </row>
    <row r="2572" spans="1:2" x14ac:dyDescent="0.3">
      <c r="A2572" s="5" t="str">
        <f>HYPERLINK("http://www.eatonpowersource.com/products/configure/screw-in%20cartridge%20valves/details/axp13617-3w-s","AXP13617-3W-S")</f>
        <v>AXP13617-3W-S</v>
      </c>
      <c r="B2572" s="6" t="s">
        <v>2541</v>
      </c>
    </row>
    <row r="2573" spans="1:2" x14ac:dyDescent="0.3">
      <c r="A2573" s="7" t="str">
        <f>HYPERLINK("http://www.eatonpowersource.com/products/configure/screw-in%20cartridge%20valves/details/axp24048-4ws","AXP24048-4WS")</f>
        <v>AXP24048-4WS</v>
      </c>
      <c r="B2573" s="8" t="s">
        <v>2542</v>
      </c>
    </row>
    <row r="2574" spans="1:2" x14ac:dyDescent="0.3">
      <c r="A2574" s="5" t="str">
        <f>HYPERLINK("http://www.eatonpowersource.com/products/configure/screw-in%20cartridge%20valves/details/axp24048-6ws","AXP24048-6WS")</f>
        <v>AXP24048-6WS</v>
      </c>
      <c r="B2574" s="6" t="s">
        <v>2543</v>
      </c>
    </row>
    <row r="2575" spans="1:2" x14ac:dyDescent="0.3">
      <c r="A2575" s="7" t="str">
        <f>HYPERLINK("http://www.eatonpowersource.com/products/configure/screw-in%20cartridge%20valves/details/axp24049-8ws","AXP24049-8WS")</f>
        <v>AXP24049-8WS</v>
      </c>
      <c r="B2575" s="8" t="s">
        <v>2544</v>
      </c>
    </row>
    <row r="2576" spans="1:2" x14ac:dyDescent="0.3">
      <c r="A2576" s="5" t="str">
        <f>HYPERLINK("http://www.eatonpowersource.com/products/configure/screw-in%20cartridge%20valves/details/axp24053-4wsbk","AXP24053-4WSBK")</f>
        <v>AXP24053-4WSBK</v>
      </c>
      <c r="B2576" s="6" t="s">
        <v>2545</v>
      </c>
    </row>
    <row r="2577" spans="1:2" x14ac:dyDescent="0.3">
      <c r="A2577" s="7" t="str">
        <f>HYPERLINK("http://www.eatonpowersource.com/products/configure/screw-in%20cartridge%20valves/details/axp24055-4wsbk","AXP24055-4WSBK")</f>
        <v>AXP24055-4WSBK</v>
      </c>
      <c r="B2577" s="8" t="s">
        <v>2546</v>
      </c>
    </row>
    <row r="2578" spans="1:2" x14ac:dyDescent="0.3">
      <c r="A2578" s="5" t="str">
        <f>HYPERLINK("http://www.eatonpowersource.com/products/configure/screw-in%20cartridge%20valves/details/axp24056-4wsbk","AXP24056-4WSBK")</f>
        <v>AXP24056-4WSBK</v>
      </c>
      <c r="B2578" s="6" t="s">
        <v>2547</v>
      </c>
    </row>
    <row r="2579" spans="1:2" x14ac:dyDescent="0.3">
      <c r="A2579" s="7" t="str">
        <f>HYPERLINK("http://www.eatonpowersource.com/products/configure/screw-in%20cartridge%20valves/details/axp24058-4wsbk","AXP24058-4WSBK")</f>
        <v>AXP24058-4WSBK</v>
      </c>
      <c r="B2579" s="8" t="s">
        <v>2548</v>
      </c>
    </row>
    <row r="2580" spans="1:2" x14ac:dyDescent="0.3">
      <c r="A2580" s="5" t="str">
        <f>HYPERLINK("http://www.eatonpowersource.com/products/configure/screw-in%20cartridge%20valves/details/axp24059-4wsbk","AXP24059-4WSBK")</f>
        <v>AXP24059-4WSBK</v>
      </c>
      <c r="B2580" s="6" t="s">
        <v>2549</v>
      </c>
    </row>
    <row r="2581" spans="1:2" x14ac:dyDescent="0.3">
      <c r="A2581" s="7" t="str">
        <f>HYPERLINK("http://www.eatonpowersource.com/products/configure/screw-in%20cartridge%20valves/details/b10536","B10536")</f>
        <v>B10536</v>
      </c>
      <c r="B2581" s="8" t="s">
        <v>2550</v>
      </c>
    </row>
    <row r="2582" spans="1:2" x14ac:dyDescent="0.3">
      <c r="A2582" s="5" t="str">
        <f>HYPERLINK("http://www.eatonpowersource.com/products/configure/screw-in%20cartridge%20valves/details/b10630","B10630")</f>
        <v>B10630</v>
      </c>
      <c r="B2582" s="6" t="s">
        <v>2551</v>
      </c>
    </row>
    <row r="2583" spans="1:2" x14ac:dyDescent="0.3">
      <c r="A2583" s="7" t="str">
        <f>HYPERLINK("http://www.eatonpowersource.com/products/configure/screw-in%20cartridge%20valves/details/b1067","B1067")</f>
        <v>B1067</v>
      </c>
      <c r="B2583" s="8" t="s">
        <v>2552</v>
      </c>
    </row>
    <row r="2584" spans="1:2" x14ac:dyDescent="0.3">
      <c r="A2584" s="5" t="str">
        <f>HYPERLINK("http://www.eatonpowersource.com/products/configure/screw-in%20cartridge%20valves/details/b1069","B1069")</f>
        <v>B1069</v>
      </c>
      <c r="B2584" s="6" t="s">
        <v>2553</v>
      </c>
    </row>
    <row r="2585" spans="1:2" x14ac:dyDescent="0.3">
      <c r="A2585" s="7" t="str">
        <f>HYPERLINK("http://www.eatonpowersource.com/products/configure/screw-in%20cartridge%20valves/details/b10708","B10708")</f>
        <v>B10708</v>
      </c>
      <c r="B2585" s="8" t="s">
        <v>2554</v>
      </c>
    </row>
    <row r="2586" spans="1:2" x14ac:dyDescent="0.3">
      <c r="A2586" s="5" t="str">
        <f>HYPERLINK("http://www.eatonpowersource.com/products/configure/screw-in%20cartridge%20valves/details/b10712","B10712")</f>
        <v>B10712</v>
      </c>
      <c r="B2586" s="6" t="s">
        <v>2555</v>
      </c>
    </row>
    <row r="2587" spans="1:2" x14ac:dyDescent="0.3">
      <c r="A2587" s="7" t="str">
        <f>HYPERLINK("http://www.eatonpowersource.com/products/configure/screw-in%20cartridge%20valves/details/b10793","B10793")</f>
        <v>B10793</v>
      </c>
      <c r="B2587" s="8" t="s">
        <v>2556</v>
      </c>
    </row>
    <row r="2588" spans="1:2" x14ac:dyDescent="0.3">
      <c r="A2588" s="5" t="str">
        <f>HYPERLINK("http://www.eatonpowersource.com/products/configure/screw-in%20cartridge%20valves/details/b10797","B10797")</f>
        <v>B10797</v>
      </c>
      <c r="B2588" s="6" t="s">
        <v>2557</v>
      </c>
    </row>
    <row r="2589" spans="1:2" x14ac:dyDescent="0.3">
      <c r="A2589" s="7" t="str">
        <f>HYPERLINK("http://www.eatonpowersource.com/products/configure/screw-in%20cartridge%20valves/details/b12631","B12631")</f>
        <v>B12631</v>
      </c>
      <c r="B2589" s="8" t="s">
        <v>2558</v>
      </c>
    </row>
    <row r="2590" spans="1:2" x14ac:dyDescent="0.3">
      <c r="A2590" s="5" t="str">
        <f>HYPERLINK("http://www.eatonpowersource.com/products/configure/screw-in%20cartridge%20valves/details/b12751","B12751")</f>
        <v>B12751</v>
      </c>
      <c r="B2590" s="6" t="s">
        <v>2559</v>
      </c>
    </row>
    <row r="2591" spans="1:2" x14ac:dyDescent="0.3">
      <c r="A2591" s="7" t="str">
        <f>HYPERLINK("http://www.eatonpowersource.com/products/configure/screw-in%20cartridge%20valves/details/b13011","B13011")</f>
        <v>B13011</v>
      </c>
      <c r="B2591" s="8" t="s">
        <v>2560</v>
      </c>
    </row>
    <row r="2592" spans="1:2" x14ac:dyDescent="0.3">
      <c r="A2592" s="5" t="str">
        <f>HYPERLINK("http://www.eatonpowersource.com/products/configure/screw-in%20cartridge%20valves/details/b13519","B13519")</f>
        <v>B13519</v>
      </c>
      <c r="B2592" s="6" t="s">
        <v>2561</v>
      </c>
    </row>
    <row r="2593" spans="1:2" x14ac:dyDescent="0.3">
      <c r="A2593" s="7" t="str">
        <f>HYPERLINK("http://www.eatonpowersource.com/products/configure/screw-in%20cartridge%20valves/details/b13521","B13521")</f>
        <v>B13521</v>
      </c>
      <c r="B2593" s="8" t="s">
        <v>2562</v>
      </c>
    </row>
    <row r="2594" spans="1:2" x14ac:dyDescent="0.3">
      <c r="A2594" s="5" t="str">
        <f>HYPERLINK("http://www.eatonpowersource.com/products/configure/screw-in%20cartridge%20valves/details/b13542","B13542")</f>
        <v>B13542</v>
      </c>
      <c r="B2594" s="6" t="s">
        <v>2563</v>
      </c>
    </row>
    <row r="2595" spans="1:2" x14ac:dyDescent="0.3">
      <c r="A2595" s="7" t="str">
        <f>HYPERLINK("http://www.eatonpowersource.com/products/configure/screw-in%20cartridge%20valves/details/b13600","B13600")</f>
        <v>B13600</v>
      </c>
      <c r="B2595" s="8" t="s">
        <v>2564</v>
      </c>
    </row>
    <row r="2596" spans="1:2" x14ac:dyDescent="0.3">
      <c r="A2596" s="5" t="str">
        <f>HYPERLINK("http://www.eatonpowersource.com/products/configure/screw-in%20cartridge%20valves/details/b13602","B13602")</f>
        <v>B13602</v>
      </c>
      <c r="B2596" s="6" t="s">
        <v>2565</v>
      </c>
    </row>
    <row r="2597" spans="1:2" x14ac:dyDescent="0.3">
      <c r="A2597" s="7" t="str">
        <f>HYPERLINK("http://www.eatonpowersource.com/products/configure/screw-in%20cartridge%20valves/details/b13625","B13625")</f>
        <v>B13625</v>
      </c>
      <c r="B2597" s="8" t="s">
        <v>2566</v>
      </c>
    </row>
    <row r="2598" spans="1:2" x14ac:dyDescent="0.3">
      <c r="A2598" s="5" t="str">
        <f>HYPERLINK("http://www.eatonpowersource.com/products/configure/screw-in%20cartridge%20valves/details/b13629","B13629")</f>
        <v>B13629</v>
      </c>
      <c r="B2598" s="6" t="s">
        <v>2567</v>
      </c>
    </row>
    <row r="2599" spans="1:2" x14ac:dyDescent="0.3">
      <c r="A2599" s="7" t="str">
        <f>HYPERLINK("http://www.eatonpowersource.com/products/configure/screw-in%20cartridge%20valves/details/b13837","B13837")</f>
        <v>B13837</v>
      </c>
      <c r="B2599" s="8" t="s">
        <v>2568</v>
      </c>
    </row>
    <row r="2600" spans="1:2" x14ac:dyDescent="0.3">
      <c r="A2600" s="5" t="str">
        <f>HYPERLINK("http://www.eatonpowersource.com/products/configure/screw-in%20cartridge%20valves/details/b13839","B13839")</f>
        <v>B13839</v>
      </c>
      <c r="B2600" s="6" t="s">
        <v>2569</v>
      </c>
    </row>
    <row r="2601" spans="1:2" x14ac:dyDescent="0.3">
      <c r="A2601" s="7" t="str">
        <f>HYPERLINK("http://www.eatonpowersource.com/products/configure/screw-in%20cartridge%20valves/details/b13988","B13988")</f>
        <v>B13988</v>
      </c>
      <c r="B2601" s="8" t="s">
        <v>2570</v>
      </c>
    </row>
    <row r="2602" spans="1:2" x14ac:dyDescent="0.3">
      <c r="A2602" s="5" t="str">
        <f>HYPERLINK("http://www.eatonpowersource.com/products/configure/screw-in%20cartridge%20valves/details/b1617","B1617")</f>
        <v>B1617</v>
      </c>
      <c r="B2602" s="6" t="s">
        <v>2571</v>
      </c>
    </row>
    <row r="2603" spans="1:2" x14ac:dyDescent="0.3">
      <c r="A2603" s="7" t="str">
        <f>HYPERLINK("http://www.eatonpowersource.com/products/configure/screw-in%20cartridge%20valves/details/b18982","B18982")</f>
        <v>B18982</v>
      </c>
      <c r="B2603" s="8" t="s">
        <v>2572</v>
      </c>
    </row>
    <row r="2604" spans="1:2" x14ac:dyDescent="0.3">
      <c r="A2604" s="5" t="str">
        <f>HYPERLINK("http://www.eatonpowersource.com/products/configure/screw-in%20cartridge%20valves/details/b19053","B19053")</f>
        <v>B19053</v>
      </c>
      <c r="B2604" s="6" t="s">
        <v>2573</v>
      </c>
    </row>
    <row r="2605" spans="1:2" x14ac:dyDescent="0.3">
      <c r="A2605" s="7" t="str">
        <f>HYPERLINK("http://www.eatonpowersource.com/products/configure/screw-in%20cartridge%20valves/details/b19187","B19187")</f>
        <v>B19187</v>
      </c>
      <c r="B2605" s="8" t="s">
        <v>2574</v>
      </c>
    </row>
    <row r="2606" spans="1:2" x14ac:dyDescent="0.3">
      <c r="A2606" s="5" t="str">
        <f>HYPERLINK("http://www.eatonpowersource.com/products/configure/screw-in%20cartridge%20valves/details/b19188","B19188")</f>
        <v>B19188</v>
      </c>
      <c r="B2606" s="6" t="s">
        <v>2575</v>
      </c>
    </row>
    <row r="2607" spans="1:2" x14ac:dyDescent="0.3">
      <c r="A2607" s="7" t="str">
        <f>HYPERLINK("http://www.eatonpowersource.com/products/configure/screw-in%20cartridge%20valves/details/b19228","B19228")</f>
        <v>B19228</v>
      </c>
      <c r="B2607" s="8" t="s">
        <v>2576</v>
      </c>
    </row>
    <row r="2608" spans="1:2" x14ac:dyDescent="0.3">
      <c r="A2608" s="5" t="str">
        <f>HYPERLINK("http://www.eatonpowersource.com/products/configure/screw-in%20cartridge%20valves/details/b19239","B19239")</f>
        <v>B19239</v>
      </c>
      <c r="B2608" s="6" t="s">
        <v>2577</v>
      </c>
    </row>
    <row r="2609" spans="1:2" x14ac:dyDescent="0.3">
      <c r="A2609" s="7" t="str">
        <f>HYPERLINK("http://www.eatonpowersource.com/products/configure/screw-in%20cartridge%20valves/details/b19240","B19240")</f>
        <v>B19240</v>
      </c>
      <c r="B2609" s="8" t="s">
        <v>2578</v>
      </c>
    </row>
    <row r="2610" spans="1:2" x14ac:dyDescent="0.3">
      <c r="A2610" s="5" t="str">
        <f>HYPERLINK("http://www.eatonpowersource.com/products/configure/screw-in%20cartridge%20valves/details/b19356","B19356")</f>
        <v>B19356</v>
      </c>
      <c r="B2610" s="6" t="s">
        <v>2579</v>
      </c>
    </row>
    <row r="2611" spans="1:2" x14ac:dyDescent="0.3">
      <c r="A2611" s="7" t="str">
        <f>HYPERLINK("http://www.eatonpowersource.com/products/configure/screw-in%20cartridge%20valves/details/b19358","B19358")</f>
        <v>B19358</v>
      </c>
      <c r="B2611" s="8" t="s">
        <v>2580</v>
      </c>
    </row>
    <row r="2612" spans="1:2" x14ac:dyDescent="0.3">
      <c r="A2612" s="5" t="str">
        <f>HYPERLINK("http://www.eatonpowersource.com/products/configure/screw-in%20cartridge%20valves/details/b19752","B19752")</f>
        <v>B19752</v>
      </c>
      <c r="B2612" s="6" t="s">
        <v>2581</v>
      </c>
    </row>
    <row r="2613" spans="1:2" x14ac:dyDescent="0.3">
      <c r="A2613" s="7" t="str">
        <f>HYPERLINK("http://www.eatonpowersource.com/products/configure/screw-in%20cartridge%20valves/details/b20105","B20105")</f>
        <v>B20105</v>
      </c>
      <c r="B2613" s="8" t="s">
        <v>2582</v>
      </c>
    </row>
    <row r="2614" spans="1:2" x14ac:dyDescent="0.3">
      <c r="A2614" s="5" t="str">
        <f>HYPERLINK("http://www.eatonpowersource.com/products/configure/screw-in%20cartridge%20valves/details/b20107","B20107")</f>
        <v>B20107</v>
      </c>
      <c r="B2614" s="6" t="s">
        <v>2583</v>
      </c>
    </row>
    <row r="2615" spans="1:2" x14ac:dyDescent="0.3">
      <c r="A2615" s="7" t="str">
        <f>HYPERLINK("http://www.eatonpowersource.com/products/configure/screw-in%20cartridge%20valves/details/b20816","B20816")</f>
        <v>B20816</v>
      </c>
      <c r="B2615" s="8" t="s">
        <v>2584</v>
      </c>
    </row>
    <row r="2616" spans="1:2" x14ac:dyDescent="0.3">
      <c r="A2616" s="5" t="str">
        <f>HYPERLINK("http://www.eatonpowersource.com/products/configure/screw-in%20cartridge%20valves/details/b20868","B20868")</f>
        <v>B20868</v>
      </c>
      <c r="B2616" s="6" t="s">
        <v>2585</v>
      </c>
    </row>
    <row r="2617" spans="1:2" x14ac:dyDescent="0.3">
      <c r="A2617" s="7" t="str">
        <f>HYPERLINK("http://www.eatonpowersource.com/products/configure/screw-in%20cartridge%20valves/details/b2216","B2216")</f>
        <v>B2216</v>
      </c>
      <c r="B2617" s="8" t="s">
        <v>2586</v>
      </c>
    </row>
    <row r="2618" spans="1:2" x14ac:dyDescent="0.3">
      <c r="A2618" s="5" t="str">
        <f>HYPERLINK("http://www.eatonpowersource.com/products/configure/screw-in%20cartridge%20valves/details/b22258","B22258")</f>
        <v>B22258</v>
      </c>
      <c r="B2618" s="6" t="s">
        <v>2587</v>
      </c>
    </row>
    <row r="2619" spans="1:2" x14ac:dyDescent="0.3">
      <c r="A2619" s="7" t="str">
        <f>HYPERLINK("http://www.eatonpowersource.com/products/configure/screw-in%20cartridge%20valves/details/b23909","B23909")</f>
        <v>B23909</v>
      </c>
      <c r="B2619" s="8" t="s">
        <v>2588</v>
      </c>
    </row>
    <row r="2620" spans="1:2" x14ac:dyDescent="0.3">
      <c r="A2620" s="5" t="str">
        <f>HYPERLINK("http://www.eatonpowersource.com/products/configure/screw-in%20cartridge%20valves/details/b24255","B24255")</f>
        <v>B24255</v>
      </c>
      <c r="B2620" s="6" t="s">
        <v>2589</v>
      </c>
    </row>
    <row r="2621" spans="1:2" x14ac:dyDescent="0.3">
      <c r="A2621" s="7" t="str">
        <f>HYPERLINK("http://www.eatonpowersource.com/products/configure/screw-in%20cartridge%20valves/details/b24261","B24261")</f>
        <v>B24261</v>
      </c>
      <c r="B2621" s="8" t="s">
        <v>2590</v>
      </c>
    </row>
    <row r="2622" spans="1:2" x14ac:dyDescent="0.3">
      <c r="A2622" s="5" t="str">
        <f>HYPERLINK("http://www.eatonpowersource.com/products/configure/screw-in%20cartridge%20valves/details/b30237","B30237")</f>
        <v>B30237</v>
      </c>
      <c r="B2622" s="6" t="s">
        <v>2591</v>
      </c>
    </row>
    <row r="2623" spans="1:2" x14ac:dyDescent="0.3">
      <c r="A2623" s="7" t="str">
        <f>HYPERLINK("http://www.eatonpowersource.com/products/configure/screw-in%20cartridge%20valves/details/b3496","B3496")</f>
        <v>B3496</v>
      </c>
      <c r="B2623" s="8" t="s">
        <v>2592</v>
      </c>
    </row>
    <row r="2624" spans="1:2" x14ac:dyDescent="0.3">
      <c r="A2624" s="5" t="str">
        <f>HYPERLINK("http://www.eatonpowersource.com/products/configure/screw-in%20cartridge%20valves/details/b3954","B3954")</f>
        <v>B3954</v>
      </c>
      <c r="B2624" s="6" t="s">
        <v>2593</v>
      </c>
    </row>
    <row r="2625" spans="1:2" x14ac:dyDescent="0.3">
      <c r="A2625" s="7" t="str">
        <f>HYPERLINK("http://www.eatonpowersource.com/products/configure/screw-in%20cartridge%20valves/details/b4377","B4377")</f>
        <v>B4377</v>
      </c>
      <c r="B2625" s="8" t="s">
        <v>2594</v>
      </c>
    </row>
    <row r="2626" spans="1:2" x14ac:dyDescent="0.3">
      <c r="A2626" s="5" t="str">
        <f>HYPERLINK("http://www.eatonpowersource.com/products/configure/screw-in%20cartridge%20valves/details/b4821","B4821")</f>
        <v>B4821</v>
      </c>
      <c r="B2626" s="6" t="s">
        <v>2595</v>
      </c>
    </row>
    <row r="2627" spans="1:2" x14ac:dyDescent="0.3">
      <c r="A2627" s="7" t="str">
        <f>HYPERLINK("http://www.eatonpowersource.com/products/configure/screw-in%20cartridge%20valves/details/b4823","B4823")</f>
        <v>B4823</v>
      </c>
      <c r="B2627" s="8" t="s">
        <v>2596</v>
      </c>
    </row>
    <row r="2628" spans="1:2" x14ac:dyDescent="0.3">
      <c r="A2628" s="5" t="str">
        <f>HYPERLINK("http://www.eatonpowersource.com/products/configure/screw-in%20cartridge%20valves/details/b4851","B4851")</f>
        <v>B4851</v>
      </c>
      <c r="B2628" s="6" t="s">
        <v>2597</v>
      </c>
    </row>
    <row r="2629" spans="1:2" x14ac:dyDescent="0.3">
      <c r="A2629" s="7" t="str">
        <f>HYPERLINK("http://www.eatonpowersource.com/products/configure/screw-in%20cartridge%20valves/details/b5134","B5134")</f>
        <v>B5134</v>
      </c>
      <c r="B2629" s="8" t="s">
        <v>2598</v>
      </c>
    </row>
    <row r="2630" spans="1:2" x14ac:dyDescent="0.3">
      <c r="A2630" s="5" t="str">
        <f>HYPERLINK("http://www.eatonpowersource.com/products/configure/screw-in%20cartridge%20valves/details/b5466","B5466")</f>
        <v>B5466</v>
      </c>
      <c r="B2630" s="6" t="s">
        <v>2599</v>
      </c>
    </row>
    <row r="2631" spans="1:2" x14ac:dyDescent="0.3">
      <c r="A2631" s="7" t="str">
        <f>HYPERLINK("http://www.eatonpowersource.com/products/configure/screw-in%20cartridge%20valves/details/b6684","B6684")</f>
        <v>B6684</v>
      </c>
      <c r="B2631" s="8" t="s">
        <v>2600</v>
      </c>
    </row>
    <row r="2632" spans="1:2" x14ac:dyDescent="0.3">
      <c r="A2632" s="5" t="str">
        <f>HYPERLINK("http://www.eatonpowersource.com/products/configure/screw-in%20cartridge%20valves/details/b6743","B6743")</f>
        <v>B6743</v>
      </c>
      <c r="B2632" s="6" t="s">
        <v>2601</v>
      </c>
    </row>
    <row r="2633" spans="1:2" x14ac:dyDescent="0.3">
      <c r="A2633" s="7" t="str">
        <f>HYPERLINK("http://www.eatonpowersource.com/products/configure/screw-in%20cartridge%20valves/details/b6814","B6814")</f>
        <v>B6814</v>
      </c>
      <c r="B2633" s="8" t="s">
        <v>2602</v>
      </c>
    </row>
    <row r="2634" spans="1:2" x14ac:dyDescent="0.3">
      <c r="A2634" s="5" t="str">
        <f>HYPERLINK("http://www.eatonpowersource.com/products/configure/screw-in%20cartridge%20valves/details/b6836","B6836")</f>
        <v>B6836</v>
      </c>
      <c r="B2634" s="6" t="s">
        <v>2603</v>
      </c>
    </row>
    <row r="2635" spans="1:2" x14ac:dyDescent="0.3">
      <c r="A2635" s="7" t="str">
        <f>HYPERLINK("http://www.eatonpowersource.com/products/configure/screw-in%20cartridge%20valves/details/b6898","B6898")</f>
        <v>B6898</v>
      </c>
      <c r="B2635" s="8" t="s">
        <v>2604</v>
      </c>
    </row>
    <row r="2636" spans="1:2" x14ac:dyDescent="0.3">
      <c r="A2636" s="5" t="str">
        <f>HYPERLINK("http://www.eatonpowersource.com/products/configure/screw-in%20cartridge%20valves/details/b7418","B7418")</f>
        <v>B7418</v>
      </c>
      <c r="B2636" s="6" t="s">
        <v>2605</v>
      </c>
    </row>
    <row r="2637" spans="1:2" x14ac:dyDescent="0.3">
      <c r="A2637" s="7" t="str">
        <f>HYPERLINK("http://www.eatonpowersource.com/products/configure/screw-in%20cartridge%20valves/details/b7498","B7498")</f>
        <v>B7498</v>
      </c>
      <c r="B2637" s="8" t="s">
        <v>2606</v>
      </c>
    </row>
    <row r="2638" spans="1:2" x14ac:dyDescent="0.3">
      <c r="A2638" s="5" t="str">
        <f>HYPERLINK("http://www.eatonpowersource.com/products/configure/screw-in%20cartridge%20valves/details/b7665","B7665")</f>
        <v>B7665</v>
      </c>
      <c r="B2638" s="6" t="s">
        <v>2607</v>
      </c>
    </row>
    <row r="2639" spans="1:2" x14ac:dyDescent="0.3">
      <c r="A2639" s="7" t="str">
        <f>HYPERLINK("http://www.eatonpowersource.com/products/configure/screw-in%20cartridge%20valves/details/b7666","B7666")</f>
        <v>B7666</v>
      </c>
      <c r="B2639" s="8" t="s">
        <v>2608</v>
      </c>
    </row>
    <row r="2640" spans="1:2" x14ac:dyDescent="0.3">
      <c r="A2640" s="5" t="str">
        <f>HYPERLINK("http://www.eatonpowersource.com/products/configure/screw-in%20cartridge%20valves/details/b7724","B7724")</f>
        <v>B7724</v>
      </c>
      <c r="B2640" s="6" t="s">
        <v>2609</v>
      </c>
    </row>
    <row r="2641" spans="1:2" x14ac:dyDescent="0.3">
      <c r="A2641" s="7" t="str">
        <f>HYPERLINK("http://www.eatonpowersource.com/products/configure/screw-in%20cartridge%20valves/details/b8533","B8533")</f>
        <v>B8533</v>
      </c>
      <c r="B2641" s="8" t="s">
        <v>2610</v>
      </c>
    </row>
    <row r="2642" spans="1:2" x14ac:dyDescent="0.3">
      <c r="A2642" s="5" t="str">
        <f>HYPERLINK("http://www.eatonpowersource.com/products/configure/screw-in%20cartridge%20valves/details/b8585","B8585")</f>
        <v>B8585</v>
      </c>
      <c r="B2642" s="6" t="s">
        <v>2611</v>
      </c>
    </row>
    <row r="2643" spans="1:2" x14ac:dyDescent="0.3">
      <c r="A2643" s="7" t="str">
        <f>HYPERLINK("http://www.eatonpowersource.com/products/configure/screw-in%20cartridge%20valves/details/bxp13634-6ws","BXP13634-6WS")</f>
        <v>BXP13634-6WS</v>
      </c>
      <c r="B2643" s="8" t="s">
        <v>2612</v>
      </c>
    </row>
    <row r="2644" spans="1:2" x14ac:dyDescent="0.3">
      <c r="A2644" s="5" t="str">
        <f>HYPERLINK("http://www.eatonpowersource.com/products/configure/screw-in%20cartridge%20valves/details/bxp15936-6ws","BXP15936-6WS")</f>
        <v>BXP15936-6WS</v>
      </c>
      <c r="B2644" s="6" t="s">
        <v>2613</v>
      </c>
    </row>
    <row r="2645" spans="1:2" x14ac:dyDescent="0.3">
      <c r="A2645" s="7" t="str">
        <f>HYPERLINK("http://www.eatonpowersource.com/products/configure/screw-in%20cartridge%20valves/details/bxp15947-3ws","BXP15947-3WS")</f>
        <v>BXP15947-3WS</v>
      </c>
      <c r="B2645" s="8" t="s">
        <v>2614</v>
      </c>
    </row>
    <row r="2646" spans="1:2" x14ac:dyDescent="0.3">
      <c r="A2646" s="5" t="str">
        <f>HYPERLINK("http://www.eatonpowersource.com/products/configure/screw-in%20cartridge%20valves/details/bxp16247-3ws","BXP16247-3WS")</f>
        <v>BXP16247-3WS</v>
      </c>
      <c r="B2646" s="6" t="s">
        <v>2615</v>
      </c>
    </row>
    <row r="2647" spans="1:2" x14ac:dyDescent="0.3">
      <c r="A2647" s="7" t="str">
        <f>HYPERLINK("http://www.eatonpowersource.com/products/configure/screw-in%20cartridge%20valves/details/bxp16248-6ws","BXP16248-6WS")</f>
        <v>BXP16248-6WS</v>
      </c>
      <c r="B2647" s="8" t="s">
        <v>2616</v>
      </c>
    </row>
    <row r="2648" spans="1:2" x14ac:dyDescent="0.3">
      <c r="A2648" s="5" t="str">
        <f>HYPERLINK("http://www.eatonpowersource.com/products/configure/screw-in%20cartridge%20valves/details/bxp21096-3ws","BXP21096-3WS")</f>
        <v>BXP21096-3WS</v>
      </c>
      <c r="B2648" s="6" t="s">
        <v>2617</v>
      </c>
    </row>
    <row r="2649" spans="1:2" x14ac:dyDescent="0.3">
      <c r="A2649" s="7" t="str">
        <f>HYPERLINK("http://www.eatonpowersource.com/products/configure/screw-in%20cartridge%20valves/details/bxp21235-4ws","BXP21235-4WS")</f>
        <v>BXP21235-4WS</v>
      </c>
      <c r="B2649" s="8" t="s">
        <v>2618</v>
      </c>
    </row>
    <row r="2650" spans="1:2" x14ac:dyDescent="0.3">
      <c r="A2650" s="5" t="str">
        <f>HYPERLINK("http://www.eatonpowersource.com/products/configure/screw-in%20cartridge%20valves/details/bxp21235-6ws","BXP21235-6WS")</f>
        <v>BXP21235-6WS</v>
      </c>
      <c r="B2650" s="6" t="s">
        <v>2619</v>
      </c>
    </row>
    <row r="2651" spans="1:2" x14ac:dyDescent="0.3">
      <c r="A2651" s="7" t="str">
        <f>HYPERLINK("http://www.eatonpowersource.com/products/configure/screw-in%20cartridge%20valves/details/bxp21795-3ws","BXP21795-3WS")</f>
        <v>BXP21795-3WS</v>
      </c>
      <c r="B2651" s="8" t="s">
        <v>2620</v>
      </c>
    </row>
    <row r="2652" spans="1:2" x14ac:dyDescent="0.3">
      <c r="A2652" s="5" t="str">
        <f>HYPERLINK("http://www.eatonpowersource.com/products/configure/screw-in%20cartridge%20valves/details/bxp23466-8ws","BXP23466-8WS")</f>
        <v>BXP23466-8WS</v>
      </c>
      <c r="B2652" s="6" t="s">
        <v>2621</v>
      </c>
    </row>
    <row r="2653" spans="1:2" x14ac:dyDescent="0.3">
      <c r="A2653" s="7" t="str">
        <f>HYPERLINK("http://www.eatonpowersource.com/products/configure/screw-in%20cartridge%20valves/details/bxp23867-12t-s","BXP23867-12T-S")</f>
        <v>BXP23867-12T-S</v>
      </c>
      <c r="B2653" s="8" t="s">
        <v>2622</v>
      </c>
    </row>
    <row r="2654" spans="1:2" x14ac:dyDescent="0.3">
      <c r="A2654" s="5" t="str">
        <f>HYPERLINK("http://www.eatonpowersource.com/products/configure/screw-in%20cartridge%20valves/details/bxp23867-6ws","BXP23867-6WS")</f>
        <v>BXP23867-6WS</v>
      </c>
      <c r="B2654" s="6" t="s">
        <v>2623</v>
      </c>
    </row>
    <row r="2655" spans="1:2" x14ac:dyDescent="0.3">
      <c r="A2655" s="7" t="str">
        <f>HYPERLINK("http://www.eatonpowersource.com/products/configure/screw-in%20cartridge%20valves/details/bxp24046-8ts","BXP24046-8TS")</f>
        <v>BXP24046-8TS</v>
      </c>
      <c r="B2655" s="8" t="s">
        <v>2624</v>
      </c>
    </row>
    <row r="2656" spans="1:2" x14ac:dyDescent="0.3">
      <c r="A2656" s="5" t="str">
        <f>HYPERLINK("http://www.eatonpowersource.com/products/configure/screw-in%20cartridge%20valves/details/bxp24047-10ws","BXP24047-10WS")</f>
        <v>BXP24047-10WS</v>
      </c>
      <c r="B2656" s="6" t="s">
        <v>2625</v>
      </c>
    </row>
    <row r="2657" spans="1:2" x14ac:dyDescent="0.3">
      <c r="A2657" s="7" t="str">
        <f>HYPERLINK("http://www.eatonpowersource.com/products/configure/screw-in%20cartridge%20valves/details/bxp24052-4wsbk","BXP24052-4WSBK")</f>
        <v>BXP24052-4WSBK</v>
      </c>
      <c r="B2657" s="8" t="s">
        <v>2626</v>
      </c>
    </row>
    <row r="2658" spans="1:2" x14ac:dyDescent="0.3">
      <c r="A2658" s="5" t="str">
        <f>HYPERLINK("http://www.eatonpowersource.com/products/configure/screw-in%20cartridge%20valves/details/bxp24056-4w-s","BXP24056-4W-S")</f>
        <v>BXP24056-4W-S</v>
      </c>
      <c r="B2658" s="6" t="s">
        <v>2627</v>
      </c>
    </row>
    <row r="2659" spans="1:2" x14ac:dyDescent="0.3">
      <c r="A2659" s="7" t="str">
        <f>HYPERLINK("http://www.eatonpowersource.com/products/configure/screw-in%20cartridge%20valves/details/bxp24101-8ws","BXP24101-8WS")</f>
        <v>BXP24101-8WS</v>
      </c>
      <c r="B2659" s="8" t="s">
        <v>2628</v>
      </c>
    </row>
    <row r="2660" spans="1:2" x14ac:dyDescent="0.3">
      <c r="A2660" s="5" t="str">
        <f>HYPERLINK("http://www.eatonpowersource.com/products/configure/screw-in%20cartridge%20valves/details/bxp24103-4ws","BXP24103-4WS")</f>
        <v>BXP24103-4WS</v>
      </c>
      <c r="B2660" s="6" t="s">
        <v>2629</v>
      </c>
    </row>
    <row r="2661" spans="1:2" x14ac:dyDescent="0.3">
      <c r="A2661" s="7" t="str">
        <f>HYPERLINK("http://www.eatonpowersource.com/products/configure/screw-in%20cartridge%20valves/details/bxp24147-3ws","BXP24147-3WS")</f>
        <v>BXP24147-3WS</v>
      </c>
      <c r="B2661" s="8" t="s">
        <v>2630</v>
      </c>
    </row>
    <row r="2662" spans="1:2" x14ac:dyDescent="0.3">
      <c r="A2662" s="5" t="str">
        <f>HYPERLINK("http://www.eatonpowersource.com/products/configure/screw-in%20cartridge%20valves/details/bxp9150-01","BXP9150-01")</f>
        <v>BXP9150-01</v>
      </c>
      <c r="B2662" s="6" t="s">
        <v>2631</v>
      </c>
    </row>
    <row r="2663" spans="1:2" x14ac:dyDescent="0.3">
      <c r="A2663" s="7" t="str">
        <f>HYPERLINK("http://www.eatonpowersource.com/products/configure/screw-in%20cartridge%20valves/details/bxp9151-01","BXP9151-01")</f>
        <v>BXP9151-01</v>
      </c>
      <c r="B2663" s="8" t="s">
        <v>2632</v>
      </c>
    </row>
    <row r="2664" spans="1:2" x14ac:dyDescent="0.3">
      <c r="A2664" s="5" t="str">
        <f>HYPERLINK("http://www.eatonpowersource.com/products/configure/screw-in%20cartridge%20valves/details/bxp9206-01","BXP9206-01")</f>
        <v>BXP9206-01</v>
      </c>
      <c r="B2664" s="6" t="s">
        <v>2633</v>
      </c>
    </row>
    <row r="2665" spans="1:2" x14ac:dyDescent="0.3">
      <c r="A2665" s="7" t="str">
        <f>HYPERLINK("http://www.eatonpowersource.com/products/configure/screw-in%20cartridge%20valves/details/bxp9207-01","BXP9207-01")</f>
        <v>BXP9207-01</v>
      </c>
      <c r="B2665" s="8" t="s">
        <v>2634</v>
      </c>
    </row>
    <row r="2666" spans="1:2" x14ac:dyDescent="0.3">
      <c r="A2666" s="5" t="str">
        <f>HYPERLINK("http://www.eatonpowersource.com/products/configure/screw-in%20cartridge%20valves/details/bxp9209-01","BXP9209-01")</f>
        <v>BXP9209-01</v>
      </c>
      <c r="B2666" s="6" t="s">
        <v>245</v>
      </c>
    </row>
    <row r="2667" spans="1:2" x14ac:dyDescent="0.3">
      <c r="A2667" s="7" t="str">
        <f>HYPERLINK("http://www.eatonpowersource.com/products/configure/screw-in%20cartridge%20valves/details/c1044","C1044")</f>
        <v>C1044</v>
      </c>
      <c r="B2667" s="8" t="s">
        <v>2635</v>
      </c>
    </row>
    <row r="2668" spans="1:2" x14ac:dyDescent="0.3">
      <c r="A2668" s="5" t="str">
        <f>HYPERLINK("http://www.eatonpowersource.com/products/configure/screw-in%20cartridge%20valves/details/c1084","C1084")</f>
        <v>C1084</v>
      </c>
      <c r="B2668" s="6" t="s">
        <v>2636</v>
      </c>
    </row>
    <row r="2669" spans="1:2" x14ac:dyDescent="0.3">
      <c r="A2669" s="7" t="str">
        <f>HYPERLINK("http://www.eatonpowersource.com/products/configure/screw-in%20cartridge%20valves/details/c1086","C1086")</f>
        <v>C1086</v>
      </c>
      <c r="B2669" s="8" t="s">
        <v>2637</v>
      </c>
    </row>
    <row r="2670" spans="1:2" x14ac:dyDescent="0.3">
      <c r="A2670" s="5" t="str">
        <f>HYPERLINK("http://www.eatonpowersource.com/products/configure/screw-in%20cartridge%20valves/details/c12320","C12320")</f>
        <v>C12320</v>
      </c>
      <c r="B2670" s="6" t="s">
        <v>2638</v>
      </c>
    </row>
    <row r="2671" spans="1:2" x14ac:dyDescent="0.3">
      <c r="A2671" s="7" t="str">
        <f>HYPERLINK("http://www.eatonpowersource.com/products/configure/screw-in%20cartridge%20valves/details/c12426","C12426")</f>
        <v>C12426</v>
      </c>
      <c r="B2671" s="8" t="s">
        <v>2639</v>
      </c>
    </row>
    <row r="2672" spans="1:2" x14ac:dyDescent="0.3">
      <c r="A2672" s="5" t="str">
        <f>HYPERLINK("http://www.eatonpowersource.com/products/configure/screw-in%20cartridge%20valves/details/c13627","C13627")</f>
        <v>C13627</v>
      </c>
      <c r="B2672" s="6" t="s">
        <v>2640</v>
      </c>
    </row>
    <row r="2673" spans="1:2" x14ac:dyDescent="0.3">
      <c r="A2673" s="7" t="str">
        <f>HYPERLINK("http://www.eatonpowersource.com/products/configure/screw-in%20cartridge%20valves/details/c19900","C19900")</f>
        <v>C19900</v>
      </c>
      <c r="B2673" s="8" t="s">
        <v>2641</v>
      </c>
    </row>
    <row r="2674" spans="1:2" x14ac:dyDescent="0.3">
      <c r="A2674" s="5" t="str">
        <f>HYPERLINK("http://www.eatonpowersource.com/products/configure/screw-in%20cartridge%20valves/details/c20284","C20284")</f>
        <v>C20284</v>
      </c>
      <c r="B2674" s="6" t="s">
        <v>2642</v>
      </c>
    </row>
    <row r="2675" spans="1:2" x14ac:dyDescent="0.3">
      <c r="A2675" s="7" t="str">
        <f>HYPERLINK("http://www.eatonpowersource.com/products/configure/screw-in%20cartridge%20valves/details/c20285","C20285")</f>
        <v>C20285</v>
      </c>
      <c r="B2675" s="8" t="s">
        <v>2643</v>
      </c>
    </row>
    <row r="2676" spans="1:2" x14ac:dyDescent="0.3">
      <c r="A2676" s="5" t="str">
        <f>HYPERLINK("http://www.eatonpowersource.com/products/configure/screw-in%20cartridge%20valves/details/c2543","C2543")</f>
        <v>C2543</v>
      </c>
      <c r="B2676" s="6" t="s">
        <v>2644</v>
      </c>
    </row>
    <row r="2677" spans="1:2" x14ac:dyDescent="0.3">
      <c r="A2677" s="7" t="str">
        <f>HYPERLINK("http://www.eatonpowersource.com/products/configure/screw-in%20cartridge%20valves/details/c8704","C8704")</f>
        <v>C8704</v>
      </c>
      <c r="B2677" s="8" t="s">
        <v>2645</v>
      </c>
    </row>
    <row r="2678" spans="1:2" x14ac:dyDescent="0.3">
      <c r="A2678" s="5" t="str">
        <f>HYPERLINK("http://www.eatonpowersource.com/products/configure/screw-in%20cartridge%20valves/details/cxp20647-10ws","CXP20647-10WS")</f>
        <v>CXP20647-10WS</v>
      </c>
      <c r="B2678" s="6" t="s">
        <v>2646</v>
      </c>
    </row>
    <row r="2679" spans="1:2" x14ac:dyDescent="0.3">
      <c r="A2679" s="7" t="str">
        <f>HYPERLINK("http://www.eatonpowersource.com/products/configure/screw-in%20cartridge%20valves/details/cxp21694-6ws","CXP21694-6WS")</f>
        <v>CXP21694-6WS</v>
      </c>
      <c r="B2679" s="8" t="s">
        <v>2647</v>
      </c>
    </row>
    <row r="2680" spans="1:2" x14ac:dyDescent="0.3">
      <c r="A2680" s="5" t="str">
        <f>HYPERLINK("http://www.eatonpowersource.com/products/configure/screw-in%20cartridge%20valves/details/cxp22496-8ws","CXP22496-8WS")</f>
        <v>CXP22496-8WS</v>
      </c>
      <c r="B2680" s="6" t="s">
        <v>2648</v>
      </c>
    </row>
    <row r="2681" spans="1:2" x14ac:dyDescent="0.3">
      <c r="A2681" s="7" t="str">
        <f>HYPERLINK("http://www.eatonpowersource.com/products/configure/screw-in%20cartridge%20valves/details/cxp3122-8ws","CXP3122-8WS")</f>
        <v>CXP3122-8WS</v>
      </c>
      <c r="B2681" s="8" t="s">
        <v>2649</v>
      </c>
    </row>
    <row r="2682" spans="1:2" x14ac:dyDescent="0.3">
      <c r="A2682" s="5" t="str">
        <f>HYPERLINK("http://www.eatonpowersource.com/products/configure/screw-in%20cartridge%20valves/details/dxp16844-10ws","DXP16844-10WS")</f>
        <v>DXP16844-10WS</v>
      </c>
      <c r="B2682" s="6" t="s">
        <v>2650</v>
      </c>
    </row>
    <row r="2683" spans="1:2" x14ac:dyDescent="0.3">
      <c r="A2683" s="7" t="str">
        <f>HYPERLINK("http://www.eatonpowersource.com/products/configure/screw-in%20cartridge%20valves/details/02-185345","02-185345")</f>
        <v>02-185345</v>
      </c>
      <c r="B2683" s="8" t="s">
        <v>2651</v>
      </c>
    </row>
    <row r="2684" spans="1:2" x14ac:dyDescent="0.3">
      <c r="A2684" s="5" t="str">
        <f>HYPERLINK("http://www.eatonpowersource.com/products/configure/screw-in%20cartridge%20valves/details/02-185346","02-185346")</f>
        <v>02-185346</v>
      </c>
      <c r="B2684" s="6" t="s">
        <v>2652</v>
      </c>
    </row>
    <row r="2685" spans="1:2" x14ac:dyDescent="0.3">
      <c r="A2685" s="7" t="str">
        <f>HYPERLINK("http://www.eatonpowersource.com/products/configure/screw-in%20cartridge%20valves/details/02-185347","02-185347")</f>
        <v>02-185347</v>
      </c>
      <c r="B2685" s="8" t="s">
        <v>2653</v>
      </c>
    </row>
    <row r="2686" spans="1:2" x14ac:dyDescent="0.3">
      <c r="A2686" s="5" t="str">
        <f>HYPERLINK("http://www.eatonpowersource.com/products/configure/screw-in%20cartridge%20valves/details/bxp16302-4ws","BXP16302-4WS")</f>
        <v>BXP16302-4WS</v>
      </c>
      <c r="B2686" s="6" t="s">
        <v>2654</v>
      </c>
    </row>
    <row r="2687" spans="1:2" x14ac:dyDescent="0.3">
      <c r="A2687" s="7" t="str">
        <f>HYPERLINK("http://www.eatonpowersource.com/products/details/02-105877","02-105877")</f>
        <v>02-105877</v>
      </c>
      <c r="B2687" s="8" t="s">
        <v>2655</v>
      </c>
    </row>
    <row r="2688" spans="1:2" x14ac:dyDescent="0.3">
      <c r="A2688" s="5" t="str">
        <f>HYPERLINK("http://www.eatonpowersource.com/products/details/02-113153","02-113153")</f>
        <v>02-113153</v>
      </c>
      <c r="B2688" s="6" t="s">
        <v>2656</v>
      </c>
    </row>
    <row r="2689" spans="1:2" x14ac:dyDescent="0.3">
      <c r="A2689" s="7" t="str">
        <f>HYPERLINK("http://www.eatonpowersource.com/products/details/02-153267","02-153267")</f>
        <v>02-153267</v>
      </c>
      <c r="B2689" s="8" t="s">
        <v>2657</v>
      </c>
    </row>
    <row r="2690" spans="1:2" x14ac:dyDescent="0.3">
      <c r="A2690" s="5" t="str">
        <f>HYPERLINK("http://www.eatonpowersource.com/products/details/02-153277","02-153277")</f>
        <v>02-153277</v>
      </c>
      <c r="B2690" s="6" t="s">
        <v>2658</v>
      </c>
    </row>
    <row r="2691" spans="1:2" x14ac:dyDescent="0.3">
      <c r="A2691" s="7" t="str">
        <f>HYPERLINK("http://www.eatonpowersource.com/products/details/02-160755","02-160755")</f>
        <v>02-160755</v>
      </c>
      <c r="B2691" s="8" t="s">
        <v>2659</v>
      </c>
    </row>
    <row r="2692" spans="1:2" x14ac:dyDescent="0.3">
      <c r="A2692" s="5" t="str">
        <f>HYPERLINK("http://www.eatonpowersource.com/products/details/02-160757","02-160757")</f>
        <v>02-160757</v>
      </c>
      <c r="B2692" s="6" t="s">
        <v>2660</v>
      </c>
    </row>
    <row r="2693" spans="1:2" x14ac:dyDescent="0.3">
      <c r="A2693" s="7" t="str">
        <f>HYPERLINK("http://www.eatonpowersource.com/products/details/02-160777","02-160777")</f>
        <v>02-160777</v>
      </c>
      <c r="B2693" s="8" t="s">
        <v>2661</v>
      </c>
    </row>
    <row r="2694" spans="1:2" x14ac:dyDescent="0.3">
      <c r="A2694" s="5" t="str">
        <f>HYPERLINK("http://www.eatonpowersource.com/products/details/02-161831","02-161831")</f>
        <v>02-161831</v>
      </c>
      <c r="B2694" s="6" t="s">
        <v>2662</v>
      </c>
    </row>
    <row r="2695" spans="1:2" x14ac:dyDescent="0.3">
      <c r="A2695" s="7" t="str">
        <f>HYPERLINK("http://www.eatonpowersource.com/products/details/02-162130","02-162130")</f>
        <v>02-162130</v>
      </c>
      <c r="B2695" s="8" t="s">
        <v>2663</v>
      </c>
    </row>
    <row r="2696" spans="1:2" x14ac:dyDescent="0.3">
      <c r="A2696" s="5" t="str">
        <f>HYPERLINK("http://www.eatonpowersource.com/products/details/02-163001","02-163001")</f>
        <v>02-163001</v>
      </c>
      <c r="B2696" s="6" t="s">
        <v>2664</v>
      </c>
    </row>
    <row r="2697" spans="1:2" x14ac:dyDescent="0.3">
      <c r="A2697" s="7" t="str">
        <f>HYPERLINK("http://www.eatonpowersource.com/products/details/02-165874","02-165874")</f>
        <v>02-165874</v>
      </c>
      <c r="B2697" s="8" t="s">
        <v>2665</v>
      </c>
    </row>
    <row r="2698" spans="1:2" x14ac:dyDescent="0.3">
      <c r="A2698" s="5" t="str">
        <f>HYPERLINK("http://www.eatonpowersource.com/products/details/02-165875","02-165875")</f>
        <v>02-165875</v>
      </c>
      <c r="B2698" s="6" t="s">
        <v>2666</v>
      </c>
    </row>
    <row r="2699" spans="1:2" x14ac:dyDescent="0.3">
      <c r="A2699" s="7" t="str">
        <f>HYPERLINK("http://www.eatonpowersource.com/products/details/02-165877","02-165877")</f>
        <v>02-165877</v>
      </c>
      <c r="B2699" s="8" t="s">
        <v>2667</v>
      </c>
    </row>
    <row r="2700" spans="1:2" x14ac:dyDescent="0.3">
      <c r="A2700" s="5" t="str">
        <f>HYPERLINK("http://www.eatonpowersource.com/products/details/02-165886","02-165886")</f>
        <v>02-165886</v>
      </c>
      <c r="B2700" s="6" t="s">
        <v>2668</v>
      </c>
    </row>
    <row r="2701" spans="1:2" x14ac:dyDescent="0.3">
      <c r="A2701" s="7" t="str">
        <f>HYPERLINK("http://www.eatonpowersource.com/products/details/02-165887","02-165887")</f>
        <v>02-165887</v>
      </c>
      <c r="B2701" s="8" t="s">
        <v>2669</v>
      </c>
    </row>
    <row r="2702" spans="1:2" x14ac:dyDescent="0.3">
      <c r="A2702" s="5" t="str">
        <f>HYPERLINK("http://www.eatonpowersource.com/products/details/02-165888","02-165888")</f>
        <v>02-165888</v>
      </c>
      <c r="B2702" s="6" t="s">
        <v>2670</v>
      </c>
    </row>
    <row r="2703" spans="1:2" x14ac:dyDescent="0.3">
      <c r="A2703" s="7" t="str">
        <f>HYPERLINK("http://www.eatonpowersource.com/products/details/02-165889","02-165889")</f>
        <v>02-165889</v>
      </c>
      <c r="B2703" s="8" t="s">
        <v>2671</v>
      </c>
    </row>
    <row r="2704" spans="1:2" x14ac:dyDescent="0.3">
      <c r="A2704" s="5" t="str">
        <f>HYPERLINK("http://www.eatonpowersource.com/products/details/02-170616","02-170616")</f>
        <v>02-170616</v>
      </c>
      <c r="B2704" s="6" t="s">
        <v>2672</v>
      </c>
    </row>
    <row r="2705" spans="1:2" x14ac:dyDescent="0.3">
      <c r="A2705" s="7" t="str">
        <f>HYPERLINK("http://www.eatonpowersource.com/products/details/02-170821","02-170821")</f>
        <v>02-170821</v>
      </c>
      <c r="B2705" s="8" t="s">
        <v>2673</v>
      </c>
    </row>
    <row r="2706" spans="1:2" x14ac:dyDescent="0.3">
      <c r="A2706" s="5" t="str">
        <f>HYPERLINK("http://www.eatonpowersource.com/products/details/02-171291","02-171291")</f>
        <v>02-171291</v>
      </c>
      <c r="B2706" s="6" t="s">
        <v>2674</v>
      </c>
    </row>
    <row r="2707" spans="1:2" x14ac:dyDescent="0.3">
      <c r="A2707" s="7" t="str">
        <f>HYPERLINK("http://www.eatonpowersource.com/products/details/02-171585","02-171585")</f>
        <v>02-171585</v>
      </c>
      <c r="B2707" s="8" t="s">
        <v>2675</v>
      </c>
    </row>
    <row r="2708" spans="1:2" x14ac:dyDescent="0.3">
      <c r="A2708" s="5" t="str">
        <f>HYPERLINK("http://www.eatonpowersource.com/products/details/02-171708","02-171708")</f>
        <v>02-171708</v>
      </c>
      <c r="B2708" s="6" t="s">
        <v>2676</v>
      </c>
    </row>
    <row r="2709" spans="1:2" x14ac:dyDescent="0.3">
      <c r="A2709" s="7" t="str">
        <f>HYPERLINK("http://www.eatonpowersource.com/products/details/02-171709","02-171709")</f>
        <v>02-171709</v>
      </c>
      <c r="B2709" s="8" t="s">
        <v>2677</v>
      </c>
    </row>
    <row r="2710" spans="1:2" x14ac:dyDescent="0.3">
      <c r="A2710" s="5" t="str">
        <f>HYPERLINK("http://www.eatonpowersource.com/products/details/02-171710","02-171710")</f>
        <v>02-171710</v>
      </c>
      <c r="B2710" s="6" t="s">
        <v>2678</v>
      </c>
    </row>
    <row r="2711" spans="1:2" x14ac:dyDescent="0.3">
      <c r="A2711" s="7" t="str">
        <f>HYPERLINK("http://www.eatonpowersource.com/products/details/02-171711","02-171711")</f>
        <v>02-171711</v>
      </c>
      <c r="B2711" s="8" t="s">
        <v>2679</v>
      </c>
    </row>
    <row r="2712" spans="1:2" x14ac:dyDescent="0.3">
      <c r="A2712" s="5" t="str">
        <f>HYPERLINK("http://www.eatonpowersource.com/products/details/02-171712","02-171712")</f>
        <v>02-171712</v>
      </c>
      <c r="B2712" s="6" t="s">
        <v>2680</v>
      </c>
    </row>
    <row r="2713" spans="1:2" x14ac:dyDescent="0.3">
      <c r="A2713" s="7" t="str">
        <f>HYPERLINK("http://www.eatonpowersource.com/products/details/02-173019","02-173019")</f>
        <v>02-173019</v>
      </c>
      <c r="B2713" s="8" t="s">
        <v>2681</v>
      </c>
    </row>
    <row r="2714" spans="1:2" x14ac:dyDescent="0.3">
      <c r="A2714" s="5" t="str">
        <f>HYPERLINK("http://www.eatonpowersource.com/products/details/02-175698","02-175698")</f>
        <v>02-175698</v>
      </c>
      <c r="B2714" s="6" t="s">
        <v>2682</v>
      </c>
    </row>
    <row r="2715" spans="1:2" x14ac:dyDescent="0.3">
      <c r="A2715" s="7" t="str">
        <f>HYPERLINK("http://www.eatonpowersource.com/products/details/02-180095","02-180095")</f>
        <v>02-180095</v>
      </c>
      <c r="B2715" s="8" t="s">
        <v>2683</v>
      </c>
    </row>
    <row r="2716" spans="1:2" x14ac:dyDescent="0.3">
      <c r="A2716" s="5" t="str">
        <f>HYPERLINK("http://www.eatonpowersource.com/products/details/02-185273","02-185273")</f>
        <v>02-185273</v>
      </c>
      <c r="B2716" s="6" t="s">
        <v>2684</v>
      </c>
    </row>
    <row r="2717" spans="1:2" x14ac:dyDescent="0.3">
      <c r="A2717" s="7" t="str">
        <f>HYPERLINK("http://www.eatonpowersource.com/products/details/02-186664","02-186664")</f>
        <v>02-186664</v>
      </c>
      <c r="B2717" s="8" t="s">
        <v>2685</v>
      </c>
    </row>
    <row r="2718" spans="1:2" x14ac:dyDescent="0.3">
      <c r="A2718" s="5" t="str">
        <f>HYPERLINK("http://www.eatonpowersource.com/products/details/02-186730","02-186730")</f>
        <v>02-186730</v>
      </c>
      <c r="B2718" s="6" t="s">
        <v>2686</v>
      </c>
    </row>
    <row r="2719" spans="1:2" x14ac:dyDescent="0.3">
      <c r="A2719" s="7" t="str">
        <f>HYPERLINK("http://www.eatonpowersource.com/products/details/202914-921","202914-921")</f>
        <v>202914-921</v>
      </c>
      <c r="B2719" s="8" t="s">
        <v>2687</v>
      </c>
    </row>
    <row r="2720" spans="1:2" x14ac:dyDescent="0.3">
      <c r="A2720" s="5" t="str">
        <f>HYPERLINK("http://www.eatonpowersource.com/products/details/300aa00119a","300AA00119A")</f>
        <v>300AA00119A</v>
      </c>
      <c r="B2720" s="6" t="s">
        <v>2688</v>
      </c>
    </row>
    <row r="2721" spans="1:2" x14ac:dyDescent="0.3">
      <c r="A2721" s="7" t="str">
        <f>HYPERLINK("http://www.eatonpowersource.com/products/details/300aa00202a","300AA00202A")</f>
        <v>300AA00202A</v>
      </c>
      <c r="B2721" s="8" t="s">
        <v>2689</v>
      </c>
    </row>
    <row r="2722" spans="1:2" x14ac:dyDescent="0.3">
      <c r="A2722" s="5" t="str">
        <f>HYPERLINK("http://www.eatonpowersource.com/products/details/407aa01727a","407AA01727A")</f>
        <v>407AA01727A</v>
      </c>
      <c r="B2722" s="6" t="s">
        <v>2690</v>
      </c>
    </row>
    <row r="2723" spans="1:2" x14ac:dyDescent="0.3">
      <c r="A2723" s="7" t="str">
        <f>HYPERLINK("http://www.eatonpowersource.com/products/details/4995361-001","4995361-001")</f>
        <v>4995361-001</v>
      </c>
      <c r="B2723" s="8" t="s">
        <v>2691</v>
      </c>
    </row>
    <row r="2724" spans="1:2" x14ac:dyDescent="0.3">
      <c r="A2724" s="5" t="str">
        <f>HYPERLINK("http://www.eatonpowersource.com/products/details/4997242-001","4997242-001")</f>
        <v>4997242-001</v>
      </c>
      <c r="B2724" s="6" t="s">
        <v>2692</v>
      </c>
    </row>
    <row r="2725" spans="1:2" x14ac:dyDescent="0.3">
      <c r="A2725" s="7" t="str">
        <f>HYPERLINK("http://www.eatonpowersource.com/products/details/565558","565558")</f>
        <v>565558</v>
      </c>
      <c r="B2725" s="8" t="s">
        <v>2693</v>
      </c>
    </row>
    <row r="2726" spans="1:2" x14ac:dyDescent="0.3">
      <c r="A2726" s="5" t="str">
        <f>HYPERLINK("http://www.eatonpowersource.com/products/details/565559","565559")</f>
        <v>565559</v>
      </c>
      <c r="B2726" s="6" t="s">
        <v>2694</v>
      </c>
    </row>
    <row r="2727" spans="1:2" x14ac:dyDescent="0.3">
      <c r="A2727" s="7" t="str">
        <f>HYPERLINK("http://www.eatonpowersource.com/products/details/565585","565585")</f>
        <v>565585</v>
      </c>
      <c r="B2727" s="8" t="s">
        <v>2695</v>
      </c>
    </row>
    <row r="2728" spans="1:2" x14ac:dyDescent="0.3">
      <c r="A2728" s="5" t="str">
        <f>HYPERLINK("http://www.eatonpowersource.com/products/details/565803","565803")</f>
        <v>565803</v>
      </c>
      <c r="B2728" s="6" t="s">
        <v>2696</v>
      </c>
    </row>
    <row r="2729" spans="1:2" x14ac:dyDescent="0.3">
      <c r="A2729" s="7" t="str">
        <f>HYPERLINK("http://www.eatonpowersource.com/products/details/565804","565804")</f>
        <v>565804</v>
      </c>
      <c r="B2729" s="8" t="s">
        <v>2697</v>
      </c>
    </row>
    <row r="2730" spans="1:2" x14ac:dyDescent="0.3">
      <c r="A2730" s="5" t="str">
        <f>HYPERLINK("http://www.eatonpowersource.com/products/details/565805","565805")</f>
        <v>565805</v>
      </c>
      <c r="B2730" s="6" t="s">
        <v>2698</v>
      </c>
    </row>
    <row r="2731" spans="1:2" x14ac:dyDescent="0.3">
      <c r="A2731" s="7" t="str">
        <f>HYPERLINK("http://www.eatonpowersource.com/products/details/565806","565806")</f>
        <v>565806</v>
      </c>
      <c r="B2731" s="8" t="s">
        <v>2699</v>
      </c>
    </row>
    <row r="2732" spans="1:2" x14ac:dyDescent="0.3">
      <c r="A2732" s="5" t="str">
        <f>HYPERLINK("http://www.eatonpowersource.com/products/details/565810","565810")</f>
        <v>565810</v>
      </c>
      <c r="B2732" s="6" t="s">
        <v>2700</v>
      </c>
    </row>
    <row r="2733" spans="1:2" x14ac:dyDescent="0.3">
      <c r="A2733" s="7" t="str">
        <f>HYPERLINK("http://www.eatonpowersource.com/products/details/565811","565811")</f>
        <v>565811</v>
      </c>
      <c r="B2733" s="8" t="s">
        <v>2701</v>
      </c>
    </row>
    <row r="2734" spans="1:2" x14ac:dyDescent="0.3">
      <c r="A2734" s="5" t="str">
        <f>HYPERLINK("http://www.eatonpowersource.com/products/details/565812","565812")</f>
        <v>565812</v>
      </c>
      <c r="B2734" s="6" t="s">
        <v>2702</v>
      </c>
    </row>
    <row r="2735" spans="1:2" x14ac:dyDescent="0.3">
      <c r="A2735" s="7" t="str">
        <f>HYPERLINK("http://www.eatonpowersource.com/products/details/565814","565814")</f>
        <v>565814</v>
      </c>
      <c r="B2735" s="8" t="s">
        <v>2703</v>
      </c>
    </row>
    <row r="2736" spans="1:2" x14ac:dyDescent="0.3">
      <c r="A2736" s="5" t="str">
        <f>HYPERLINK("http://www.eatonpowersource.com/products/details/565815","565815")</f>
        <v>565815</v>
      </c>
      <c r="B2736" s="6" t="s">
        <v>2704</v>
      </c>
    </row>
    <row r="2737" spans="1:2" x14ac:dyDescent="0.3">
      <c r="A2737" s="7" t="str">
        <f>HYPERLINK("http://www.eatonpowersource.com/products/details/565816","565816")</f>
        <v>565816</v>
      </c>
      <c r="B2737" s="8" t="s">
        <v>2705</v>
      </c>
    </row>
    <row r="2738" spans="1:2" x14ac:dyDescent="0.3">
      <c r="A2738" s="5" t="str">
        <f>HYPERLINK("http://www.eatonpowersource.com/products/details/565905","565905")</f>
        <v>565905</v>
      </c>
      <c r="B2738" s="6" t="s">
        <v>2706</v>
      </c>
    </row>
    <row r="2739" spans="1:2" x14ac:dyDescent="0.3">
      <c r="A2739" s="7" t="str">
        <f>HYPERLINK("http://www.eatonpowersource.com/products/details/566080","566080")</f>
        <v>566080</v>
      </c>
      <c r="B2739" s="8" t="s">
        <v>2707</v>
      </c>
    </row>
    <row r="2740" spans="1:2" x14ac:dyDescent="0.3">
      <c r="A2740" s="5" t="str">
        <f>HYPERLINK("http://www.eatonpowersource.com/products/details/566086","566086")</f>
        <v>566086</v>
      </c>
      <c r="B2740" s="6" t="s">
        <v>2708</v>
      </c>
    </row>
    <row r="2741" spans="1:2" x14ac:dyDescent="0.3">
      <c r="A2741" s="7" t="str">
        <f>HYPERLINK("http://www.eatonpowersource.com/products/details/566244","566244")</f>
        <v>566244</v>
      </c>
      <c r="B2741" s="8" t="s">
        <v>2709</v>
      </c>
    </row>
    <row r="2742" spans="1:2" x14ac:dyDescent="0.3">
      <c r="A2742" s="5" t="str">
        <f>HYPERLINK("http://www.eatonpowersource.com/products/details/566437","566437")</f>
        <v>566437</v>
      </c>
      <c r="B2742" s="6" t="s">
        <v>2710</v>
      </c>
    </row>
    <row r="2743" spans="1:2" x14ac:dyDescent="0.3">
      <c r="A2743" s="7" t="str">
        <f>HYPERLINK("http://www.eatonpowersource.com/products/details/566438","566438")</f>
        <v>566438</v>
      </c>
      <c r="B2743" s="8" t="s">
        <v>2711</v>
      </c>
    </row>
    <row r="2744" spans="1:2" x14ac:dyDescent="0.3">
      <c r="A2744" s="5" t="str">
        <f>HYPERLINK("http://www.eatonpowersource.com/products/details/566440","566440")</f>
        <v>566440</v>
      </c>
      <c r="B2744" s="6" t="s">
        <v>2712</v>
      </c>
    </row>
    <row r="2745" spans="1:2" x14ac:dyDescent="0.3">
      <c r="A2745" s="7" t="str">
        <f>HYPERLINK("http://www.eatonpowersource.com/products/details/566441","566441")</f>
        <v>566441</v>
      </c>
      <c r="B2745" s="8" t="s">
        <v>2713</v>
      </c>
    </row>
    <row r="2746" spans="1:2" x14ac:dyDescent="0.3">
      <c r="A2746" s="5" t="str">
        <f>HYPERLINK("http://www.eatonpowersource.com/products/details/566442","566442")</f>
        <v>566442</v>
      </c>
      <c r="B2746" s="6" t="s">
        <v>2714</v>
      </c>
    </row>
    <row r="2747" spans="1:2" x14ac:dyDescent="0.3">
      <c r="A2747" s="7" t="str">
        <f>HYPERLINK("http://www.eatonpowersource.com/products/details/566478","566478")</f>
        <v>566478</v>
      </c>
      <c r="B2747" s="8" t="s">
        <v>2715</v>
      </c>
    </row>
    <row r="2748" spans="1:2" x14ac:dyDescent="0.3">
      <c r="A2748" s="5" t="str">
        <f>HYPERLINK("http://www.eatonpowersource.com/products/details/6025820-001","6025820-001")</f>
        <v>6025820-001</v>
      </c>
      <c r="B2748" s="6" t="s">
        <v>2716</v>
      </c>
    </row>
    <row r="2749" spans="1:2" x14ac:dyDescent="0.3">
      <c r="A2749" s="7" t="str">
        <f>HYPERLINK("http://www.eatonpowersource.com/products/details/888948","888948")</f>
        <v>888948</v>
      </c>
      <c r="B2749" s="8" t="s">
        <v>2717</v>
      </c>
    </row>
    <row r="2750" spans="1:2" x14ac:dyDescent="0.3">
      <c r="A2750" s="5" t="str">
        <f>HYPERLINK("http://www.eatonpowersource.com/products/details/888963","888963")</f>
        <v>888963</v>
      </c>
      <c r="B2750" s="6" t="s">
        <v>2718</v>
      </c>
    </row>
    <row r="2751" spans="1:2" x14ac:dyDescent="0.3">
      <c r="A2751" s="7" t="str">
        <f>HYPERLINK("http://www.eatonpowersource.com/products/details/889599","889599")</f>
        <v>889599</v>
      </c>
      <c r="B2751" s="8" t="s">
        <v>2719</v>
      </c>
    </row>
    <row r="2752" spans="1:2" x14ac:dyDescent="0.3">
      <c r="A2752" s="5" t="str">
        <f>HYPERLINK("http://www.eatonpowersource.com/products/details/889609","889609")</f>
        <v>889609</v>
      </c>
      <c r="B2752" s="6" t="s">
        <v>2720</v>
      </c>
    </row>
    <row r="2753" spans="1:2" x14ac:dyDescent="0.3">
      <c r="A2753" s="7" t="str">
        <f>HYPERLINK("http://www.eatonpowersource.com/products/details/889615","889615")</f>
        <v>889615</v>
      </c>
      <c r="B2753" s="8" t="s">
        <v>2721</v>
      </c>
    </row>
    <row r="2754" spans="1:2" x14ac:dyDescent="0.3">
      <c r="A2754" s="5" t="str">
        <f>HYPERLINK("http://www.eatonpowersource.com/products/details/889619","889619")</f>
        <v>889619</v>
      </c>
      <c r="B2754" s="6" t="s">
        <v>2722</v>
      </c>
    </row>
    <row r="2755" spans="1:2" x14ac:dyDescent="0.3">
      <c r="A2755" s="7" t="str">
        <f>HYPERLINK("http://www.eatonpowersource.com/products/details/889624","889624")</f>
        <v>889624</v>
      </c>
      <c r="B2755" s="8" t="s">
        <v>2723</v>
      </c>
    </row>
    <row r="2756" spans="1:2" x14ac:dyDescent="0.3">
      <c r="A2756" s="5" t="str">
        <f>HYPERLINK("http://www.eatonpowersource.com/products/details/889625","889625")</f>
        <v>889625</v>
      </c>
      <c r="B2756" s="6" t="s">
        <v>2724</v>
      </c>
    </row>
    <row r="2757" spans="1:2" x14ac:dyDescent="0.3">
      <c r="A2757" s="7" t="str">
        <f>HYPERLINK("http://www.eatonpowersource.com/products/details/889627","889627")</f>
        <v>889627</v>
      </c>
      <c r="B2757" s="8" t="s">
        <v>2725</v>
      </c>
    </row>
    <row r="2758" spans="1:2" x14ac:dyDescent="0.3">
      <c r="A2758" s="5" t="str">
        <f>HYPERLINK("http://www.eatonpowersource.com/products/details/889631","889631")</f>
        <v>889631</v>
      </c>
      <c r="B2758" s="6" t="s">
        <v>2726</v>
      </c>
    </row>
    <row r="2759" spans="1:2" x14ac:dyDescent="0.3">
      <c r="A2759" s="7" t="str">
        <f>HYPERLINK("http://www.eatonpowersource.com/products/details/889634","889634")</f>
        <v>889634</v>
      </c>
      <c r="B2759" s="8" t="s">
        <v>2727</v>
      </c>
    </row>
    <row r="2760" spans="1:2" x14ac:dyDescent="0.3">
      <c r="A2760" s="5" t="str">
        <f>HYPERLINK("http://www.eatonpowersource.com/products/details/889636","889636")</f>
        <v>889636</v>
      </c>
      <c r="B2760" s="6" t="s">
        <v>2728</v>
      </c>
    </row>
    <row r="2761" spans="1:2" x14ac:dyDescent="0.3">
      <c r="A2761" s="7" t="str">
        <f>HYPERLINK("http://www.eatonpowersource.com/products/details/889639","889639")</f>
        <v>889639</v>
      </c>
      <c r="B2761" s="8" t="s">
        <v>2729</v>
      </c>
    </row>
    <row r="2762" spans="1:2" x14ac:dyDescent="0.3">
      <c r="A2762" s="5" t="str">
        <f>HYPERLINK("http://www.eatonpowersource.com/products/details/889650","889650")</f>
        <v>889650</v>
      </c>
      <c r="B2762" s="6" t="s">
        <v>2730</v>
      </c>
    </row>
    <row r="2763" spans="1:2" x14ac:dyDescent="0.3">
      <c r="A2763" s="7" t="str">
        <f>HYPERLINK("http://www.eatonpowersource.com/products/details/889652","889652")</f>
        <v>889652</v>
      </c>
      <c r="B2763" s="8" t="s">
        <v>2731</v>
      </c>
    </row>
    <row r="2764" spans="1:2" x14ac:dyDescent="0.3">
      <c r="A2764" s="5" t="str">
        <f>HYPERLINK("http://www.eatonpowersource.com/products/details/889659","889659")</f>
        <v>889659</v>
      </c>
      <c r="B2764" s="6" t="s">
        <v>2732</v>
      </c>
    </row>
    <row r="2765" spans="1:2" x14ac:dyDescent="0.3">
      <c r="A2765" s="7" t="str">
        <f>HYPERLINK("http://www.eatonpowersource.com/products/details/9900175-000","9900175-000")</f>
        <v>9900175-000</v>
      </c>
      <c r="B2765" s="8" t="s">
        <v>2733</v>
      </c>
    </row>
    <row r="2766" spans="1:2" x14ac:dyDescent="0.3">
      <c r="A2766" s="5" t="str">
        <f>HYPERLINK("http://www.eatonpowersource.com/products/details/9900861-000","9900861-000")</f>
        <v>9900861-000</v>
      </c>
      <c r="B2766" s="6" t="s">
        <v>2734</v>
      </c>
    </row>
    <row r="2767" spans="1:2" x14ac:dyDescent="0.3">
      <c r="A2767" s="7" t="str">
        <f>HYPERLINK("http://www.eatonpowersource.com/products/details/axp3946-01","AXP3946-01")</f>
        <v>AXP3946-01</v>
      </c>
      <c r="B2767" s="8" t="s">
        <v>2735</v>
      </c>
    </row>
    <row r="2768" spans="1:2" x14ac:dyDescent="0.3">
      <c r="A2768" s="5" t="str">
        <f>HYPERLINK("http://www.eatonpowersource.com/products/details/axp3946-02","AXP3946-02")</f>
        <v>AXP3946-02</v>
      </c>
      <c r="B2768" s="6" t="s">
        <v>2736</v>
      </c>
    </row>
    <row r="2769" spans="1:2" x14ac:dyDescent="0.3">
      <c r="A2769" s="7" t="str">
        <f>HYPERLINK("http://www.eatonpowersource.com/products/details/axp3946-03","AXP3946-03")</f>
        <v>AXP3946-03</v>
      </c>
      <c r="B2769" s="8" t="s">
        <v>2737</v>
      </c>
    </row>
    <row r="2770" spans="1:2" x14ac:dyDescent="0.3">
      <c r="A2770" s="5" t="str">
        <f>HYPERLINK("http://www.eatonpowersource.com/products/details/axp3946-05","AXP3946-05")</f>
        <v>AXP3946-05</v>
      </c>
      <c r="B2770" s="6" t="s">
        <v>2738</v>
      </c>
    </row>
    <row r="2771" spans="1:2" x14ac:dyDescent="0.3">
      <c r="A2771" s="7" t="str">
        <f>HYPERLINK("http://www.eatonpowersource.com/products/details/axp3946-05sv","AXP3946-05SV")</f>
        <v>AXP3946-05SV</v>
      </c>
      <c r="B2771" s="8" t="s">
        <v>2739</v>
      </c>
    </row>
    <row r="2772" spans="1:2" x14ac:dyDescent="0.3">
      <c r="A2772" s="5" t="str">
        <f>HYPERLINK("http://www.eatonpowersource.com/products/details/axp5531","AXP5531")</f>
        <v>AXP5531</v>
      </c>
      <c r="B2772" s="6" t="s">
        <v>2740</v>
      </c>
    </row>
    <row r="2773" spans="1:2" x14ac:dyDescent="0.3">
      <c r="A2773" s="7" t="str">
        <f>HYPERLINK("http://www.eatonpowersource.com/products/details/axp5531-01v","AXP5531-01V")</f>
        <v>AXP5531-01V</v>
      </c>
      <c r="B2773" s="8" t="s">
        <v>2740</v>
      </c>
    </row>
    <row r="2774" spans="1:2" x14ac:dyDescent="0.3">
      <c r="A2774" s="5" t="str">
        <f>HYPERLINK("http://www.eatonpowersource.com/products/details/axp5532-01","AXP5532-01")</f>
        <v>AXP5532-01</v>
      </c>
      <c r="B2774" s="6" t="s">
        <v>2741</v>
      </c>
    </row>
    <row r="2775" spans="1:2" x14ac:dyDescent="0.3">
      <c r="A2775" s="7" t="str">
        <f>HYPERLINK("http://www.eatonpowersource.com/products/details/axp8262","AXP8262")</f>
        <v>AXP8262</v>
      </c>
      <c r="B2775" s="8" t="s">
        <v>2742</v>
      </c>
    </row>
    <row r="2776" spans="1:2" x14ac:dyDescent="0.3">
      <c r="A2776" s="5" t="str">
        <f>HYPERLINK("http://www.eatonpowersource.com/products/details/sk100","SK100")</f>
        <v>SK100</v>
      </c>
      <c r="B2776" s="6" t="s">
        <v>2743</v>
      </c>
    </row>
    <row r="2777" spans="1:2" x14ac:dyDescent="0.3">
      <c r="A2777" s="7" t="str">
        <f>HYPERLINK("http://www.eatonpowersource.com/products/details/sk100v","SK100V")</f>
        <v>SK100V</v>
      </c>
      <c r="B2777" s="8" t="s">
        <v>2744</v>
      </c>
    </row>
    <row r="2778" spans="1:2" x14ac:dyDescent="0.3">
      <c r="A2778" s="5" t="str">
        <f>HYPERLINK("http://www.eatonpowersource.com/products/details/sk1027","SK1027")</f>
        <v>SK1027</v>
      </c>
      <c r="B2778" s="6" t="s">
        <v>2745</v>
      </c>
    </row>
    <row r="2779" spans="1:2" x14ac:dyDescent="0.3">
      <c r="A2779" s="7" t="str">
        <f>HYPERLINK("http://www.eatonpowersource.com/products/details/sk1028","SK1028")</f>
        <v>SK1028</v>
      </c>
      <c r="B2779" s="8" t="s">
        <v>2746</v>
      </c>
    </row>
    <row r="2780" spans="1:2" x14ac:dyDescent="0.3">
      <c r="A2780" s="5" t="str">
        <f>HYPERLINK("http://www.eatonpowersource.com/products/details/sk1028v","SK1028V")</f>
        <v>SK1028V</v>
      </c>
      <c r="B2780" s="6" t="s">
        <v>2747</v>
      </c>
    </row>
    <row r="2781" spans="1:2" x14ac:dyDescent="0.3">
      <c r="A2781" s="7" t="str">
        <f>HYPERLINK("http://www.eatonpowersource.com/products/details/sk1030","SK1030")</f>
        <v>SK1030</v>
      </c>
      <c r="B2781" s="8" t="s">
        <v>2748</v>
      </c>
    </row>
    <row r="2782" spans="1:2" x14ac:dyDescent="0.3">
      <c r="A2782" s="5" t="str">
        <f>HYPERLINK("http://www.eatonpowersource.com/products/details/sk1030v","SK1030V")</f>
        <v>SK1030V</v>
      </c>
      <c r="B2782" s="6" t="s">
        <v>2748</v>
      </c>
    </row>
    <row r="2783" spans="1:2" x14ac:dyDescent="0.3">
      <c r="A2783" s="7" t="str">
        <f>HYPERLINK("http://www.eatonpowersource.com/products/details/sk1031","SK1031")</f>
        <v>SK1031</v>
      </c>
      <c r="B2783" s="8" t="s">
        <v>2749</v>
      </c>
    </row>
    <row r="2784" spans="1:2" x14ac:dyDescent="0.3">
      <c r="A2784" s="5" t="str">
        <f>HYPERLINK("http://www.eatonpowersource.com/products/details/sk1031v","SK1031V")</f>
        <v>SK1031V</v>
      </c>
      <c r="B2784" s="6" t="s">
        <v>2749</v>
      </c>
    </row>
    <row r="2785" spans="1:2" x14ac:dyDescent="0.3">
      <c r="A2785" s="7" t="str">
        <f>HYPERLINK("http://www.eatonpowersource.com/products/details/sk1034","SK1034")</f>
        <v>SK1034</v>
      </c>
      <c r="B2785" s="8" t="s">
        <v>2750</v>
      </c>
    </row>
    <row r="2786" spans="1:2" x14ac:dyDescent="0.3">
      <c r="A2786" s="5" t="str">
        <f>HYPERLINK("http://www.eatonpowersource.com/products/details/sk1043","SK1043")</f>
        <v>SK1043</v>
      </c>
      <c r="B2786" s="6" t="s">
        <v>2751</v>
      </c>
    </row>
    <row r="2787" spans="1:2" x14ac:dyDescent="0.3">
      <c r="A2787" s="7" t="str">
        <f>HYPERLINK("http://www.eatonpowersource.com/products/details/sk1043v","SK1043V")</f>
        <v>SK1043V</v>
      </c>
      <c r="B2787" s="8" t="s">
        <v>2752</v>
      </c>
    </row>
    <row r="2788" spans="1:2" x14ac:dyDescent="0.3">
      <c r="A2788" s="5" t="str">
        <f>HYPERLINK("http://www.eatonpowersource.com/products/details/sk1060","SK1060")</f>
        <v>SK1060</v>
      </c>
      <c r="B2788" s="6" t="s">
        <v>2753</v>
      </c>
    </row>
    <row r="2789" spans="1:2" x14ac:dyDescent="0.3">
      <c r="A2789" s="7" t="str">
        <f>HYPERLINK("http://www.eatonpowersource.com/products/details/sk1065","SK1065")</f>
        <v>SK1065</v>
      </c>
      <c r="B2789" s="8" t="s">
        <v>2754</v>
      </c>
    </row>
    <row r="2790" spans="1:2" x14ac:dyDescent="0.3">
      <c r="A2790" s="5" t="str">
        <f>HYPERLINK("http://www.eatonpowersource.com/products/details/sk1079","SK1079")</f>
        <v>SK1079</v>
      </c>
      <c r="B2790" s="6" t="s">
        <v>2755</v>
      </c>
    </row>
    <row r="2791" spans="1:2" x14ac:dyDescent="0.3">
      <c r="A2791" s="7" t="str">
        <f>HYPERLINK("http://www.eatonpowersource.com/products/details/sk1079v","SK1079V")</f>
        <v>SK1079V</v>
      </c>
      <c r="B2791" s="8" t="s">
        <v>2756</v>
      </c>
    </row>
    <row r="2792" spans="1:2" x14ac:dyDescent="0.3">
      <c r="A2792" s="5" t="str">
        <f>HYPERLINK("http://www.eatonpowersource.com/products/details/sk1096","SK1096")</f>
        <v>SK1096</v>
      </c>
      <c r="B2792" s="6" t="s">
        <v>2757</v>
      </c>
    </row>
    <row r="2793" spans="1:2" x14ac:dyDescent="0.3">
      <c r="A2793" s="7" t="str">
        <f>HYPERLINK("http://www.eatonpowersource.com/products/details/sk1106v","SK1106V")</f>
        <v>SK1106V</v>
      </c>
      <c r="B2793" s="8" t="s">
        <v>2758</v>
      </c>
    </row>
    <row r="2794" spans="1:2" x14ac:dyDescent="0.3">
      <c r="A2794" s="5" t="str">
        <f>HYPERLINK("http://www.eatonpowersource.com/products/details/sk1108","SK1108")</f>
        <v>SK1108</v>
      </c>
      <c r="B2794" s="6" t="s">
        <v>2759</v>
      </c>
    </row>
    <row r="2795" spans="1:2" x14ac:dyDescent="0.3">
      <c r="A2795" s="7" t="str">
        <f>HYPERLINK("http://www.eatonpowersource.com/products/details/sk1119v","SK1119V")</f>
        <v>SK1119V</v>
      </c>
      <c r="B2795" s="8" t="s">
        <v>2760</v>
      </c>
    </row>
    <row r="2796" spans="1:2" x14ac:dyDescent="0.3">
      <c r="A2796" s="5" t="str">
        <f>HYPERLINK("http://www.eatonpowersource.com/products/details/sk1138","SK1138")</f>
        <v>SK1138</v>
      </c>
      <c r="B2796" s="6" t="s">
        <v>2761</v>
      </c>
    </row>
    <row r="2797" spans="1:2" x14ac:dyDescent="0.3">
      <c r="A2797" s="7" t="str">
        <f>HYPERLINK("http://www.eatonpowersource.com/products/details/sk1145","SK1145")</f>
        <v>SK1145</v>
      </c>
      <c r="B2797" s="8" t="s">
        <v>2762</v>
      </c>
    </row>
    <row r="2798" spans="1:2" x14ac:dyDescent="0.3">
      <c r="A2798" s="5" t="str">
        <f>HYPERLINK("http://www.eatonpowersource.com/products/details/sk1145v","SK1145V")</f>
        <v>SK1145V</v>
      </c>
      <c r="B2798" s="6" t="s">
        <v>2763</v>
      </c>
    </row>
    <row r="2799" spans="1:2" x14ac:dyDescent="0.3">
      <c r="A2799" s="7" t="str">
        <f>HYPERLINK("http://www.eatonpowersource.com/products/details/sk1151-p","SK1151-P")</f>
        <v>SK1151-P</v>
      </c>
      <c r="B2799" s="8" t="s">
        <v>2764</v>
      </c>
    </row>
    <row r="2800" spans="1:2" x14ac:dyDescent="0.3">
      <c r="A2800" s="5" t="str">
        <f>HYPERLINK("http://www.eatonpowersource.com/products/details/sk1157","SK1157")</f>
        <v>SK1157</v>
      </c>
      <c r="B2800" s="6" t="s">
        <v>2765</v>
      </c>
    </row>
    <row r="2801" spans="1:2" x14ac:dyDescent="0.3">
      <c r="A2801" s="7" t="str">
        <f>HYPERLINK("http://www.eatonpowersource.com/products/details/sk1158","SK1158")</f>
        <v>SK1158</v>
      </c>
      <c r="B2801" s="8" t="s">
        <v>2766</v>
      </c>
    </row>
    <row r="2802" spans="1:2" x14ac:dyDescent="0.3">
      <c r="A2802" s="5" t="str">
        <f>HYPERLINK("http://www.eatonpowersource.com/products/details/sk1159","SK1159")</f>
        <v>SK1159</v>
      </c>
      <c r="B2802" s="6" t="s">
        <v>2767</v>
      </c>
    </row>
    <row r="2803" spans="1:2" x14ac:dyDescent="0.3">
      <c r="A2803" s="7" t="str">
        <f>HYPERLINK("http://www.eatonpowersource.com/products/details/sk1159p","SK1159P")</f>
        <v>SK1159P</v>
      </c>
      <c r="B2803" s="8" t="s">
        <v>2768</v>
      </c>
    </row>
    <row r="2804" spans="1:2" x14ac:dyDescent="0.3">
      <c r="A2804" s="5" t="str">
        <f>HYPERLINK("http://www.eatonpowersource.com/products/details/sk1160","SK1160")</f>
        <v>SK1160</v>
      </c>
      <c r="B2804" s="6" t="s">
        <v>2769</v>
      </c>
    </row>
    <row r="2805" spans="1:2" x14ac:dyDescent="0.3">
      <c r="A2805" s="7" t="str">
        <f>HYPERLINK("http://www.eatonpowersource.com/products/details/sk1161-p","SK1161-P")</f>
        <v>SK1161-P</v>
      </c>
      <c r="B2805" s="8" t="s">
        <v>2770</v>
      </c>
    </row>
    <row r="2806" spans="1:2" x14ac:dyDescent="0.3">
      <c r="A2806" s="5" t="str">
        <f>HYPERLINK("http://www.eatonpowersource.com/products/details/sk1162-p","SK1162-P")</f>
        <v>SK1162-P</v>
      </c>
      <c r="B2806" s="6" t="s">
        <v>2771</v>
      </c>
    </row>
    <row r="2807" spans="1:2" x14ac:dyDescent="0.3">
      <c r="A2807" s="7" t="str">
        <f>HYPERLINK("http://www.eatonpowersource.com/products/details/sk1163-p","SK1163-P")</f>
        <v>SK1163-P</v>
      </c>
      <c r="B2807" s="8" t="s">
        <v>2772</v>
      </c>
    </row>
    <row r="2808" spans="1:2" x14ac:dyDescent="0.3">
      <c r="A2808" s="5" t="str">
        <f>HYPERLINK("http://www.eatonpowersource.com/products/details/sk1164-p","SK1164-P")</f>
        <v>SK1164-P</v>
      </c>
      <c r="B2808" s="6" t="s">
        <v>2773</v>
      </c>
    </row>
    <row r="2809" spans="1:2" x14ac:dyDescent="0.3">
      <c r="A2809" s="7" t="str">
        <f>HYPERLINK("http://www.eatonpowersource.com/products/details/sk119","SK119")</f>
        <v>SK119</v>
      </c>
      <c r="B2809" s="8" t="s">
        <v>2774</v>
      </c>
    </row>
    <row r="2810" spans="1:2" x14ac:dyDescent="0.3">
      <c r="A2810" s="5" t="str">
        <f>HYPERLINK("http://www.eatonpowersource.com/products/details/sk1211v","SK1211V")</f>
        <v>SK1211V</v>
      </c>
      <c r="B2810" s="6" t="s">
        <v>2775</v>
      </c>
    </row>
    <row r="2811" spans="1:2" x14ac:dyDescent="0.3">
      <c r="A2811" s="7" t="str">
        <f>HYPERLINK("http://www.eatonpowersource.com/products/details/sk1225","SK1225")</f>
        <v>SK1225</v>
      </c>
      <c r="B2811" s="8" t="s">
        <v>2776</v>
      </c>
    </row>
    <row r="2812" spans="1:2" x14ac:dyDescent="0.3">
      <c r="A2812" s="5" t="str">
        <f>HYPERLINK("http://www.eatonpowersource.com/products/details/sk1240","SK1240")</f>
        <v>SK1240</v>
      </c>
      <c r="B2812" s="6" t="s">
        <v>2777</v>
      </c>
    </row>
    <row r="2813" spans="1:2" x14ac:dyDescent="0.3">
      <c r="A2813" s="7" t="str">
        <f>HYPERLINK("http://www.eatonpowersource.com/products/details/sk1272n","SK1272N")</f>
        <v>SK1272N</v>
      </c>
      <c r="B2813" s="8" t="s">
        <v>2778</v>
      </c>
    </row>
    <row r="2814" spans="1:2" x14ac:dyDescent="0.3">
      <c r="A2814" s="5" t="str">
        <f>HYPERLINK("http://www.eatonpowersource.com/products/details/sk1276n","SK1276N")</f>
        <v>SK1276N</v>
      </c>
      <c r="B2814" s="6" t="s">
        <v>2779</v>
      </c>
    </row>
    <row r="2815" spans="1:2" x14ac:dyDescent="0.3">
      <c r="A2815" s="7" t="str">
        <f>HYPERLINK("http://www.eatonpowersource.com/products/details/sk1276v","SK1276V")</f>
        <v>SK1276V</v>
      </c>
      <c r="B2815" s="8" t="s">
        <v>2780</v>
      </c>
    </row>
    <row r="2816" spans="1:2" x14ac:dyDescent="0.3">
      <c r="A2816" s="5" t="str">
        <f>HYPERLINK("http://www.eatonpowersource.com/products/details/sk1297","SK1297")</f>
        <v>SK1297</v>
      </c>
      <c r="B2816" s="6" t="s">
        <v>2781</v>
      </c>
    </row>
    <row r="2817" spans="1:2" x14ac:dyDescent="0.3">
      <c r="A2817" s="7" t="str">
        <f>HYPERLINK("http://www.eatonpowersource.com/products/details/sk1311-6","SK1311-6")</f>
        <v>SK1311-6</v>
      </c>
      <c r="B2817" s="8" t="s">
        <v>2782</v>
      </c>
    </row>
    <row r="2818" spans="1:2" x14ac:dyDescent="0.3">
      <c r="A2818" s="5" t="str">
        <f>HYPERLINK("http://www.eatonpowersource.com/products/details/sk139","SK139")</f>
        <v>SK139</v>
      </c>
      <c r="B2818" s="6" t="s">
        <v>2783</v>
      </c>
    </row>
    <row r="2819" spans="1:2" x14ac:dyDescent="0.3">
      <c r="A2819" s="7" t="str">
        <f>HYPERLINK("http://www.eatonpowersource.com/products/details/sk1412","SK1412")</f>
        <v>SK1412</v>
      </c>
      <c r="B2819" s="8" t="s">
        <v>2784</v>
      </c>
    </row>
    <row r="2820" spans="1:2" x14ac:dyDescent="0.3">
      <c r="A2820" s="5" t="str">
        <f>HYPERLINK("http://www.eatonpowersource.com/products/details/sk154","SK154")</f>
        <v>SK154</v>
      </c>
      <c r="B2820" s="6" t="s">
        <v>2785</v>
      </c>
    </row>
    <row r="2821" spans="1:2" x14ac:dyDescent="0.3">
      <c r="A2821" s="7" t="str">
        <f>HYPERLINK("http://www.eatonpowersource.com/products/details/sk161","SK161")</f>
        <v>SK161</v>
      </c>
      <c r="B2821" s="8" t="s">
        <v>2786</v>
      </c>
    </row>
    <row r="2822" spans="1:2" x14ac:dyDescent="0.3">
      <c r="A2822" s="5" t="str">
        <f>HYPERLINK("http://www.eatonpowersource.com/products/details/sk164","SK164")</f>
        <v>SK164</v>
      </c>
      <c r="B2822" s="6" t="s">
        <v>2787</v>
      </c>
    </row>
    <row r="2823" spans="1:2" x14ac:dyDescent="0.3">
      <c r="A2823" s="7" t="str">
        <f>HYPERLINK("http://www.eatonpowersource.com/products/details/sk164v","SK164V")</f>
        <v>SK164V</v>
      </c>
      <c r="B2823" s="8" t="s">
        <v>2788</v>
      </c>
    </row>
    <row r="2824" spans="1:2" x14ac:dyDescent="0.3">
      <c r="A2824" s="5" t="str">
        <f>HYPERLINK("http://www.eatonpowersource.com/products/details/sk170","SK170")</f>
        <v>SK170</v>
      </c>
      <c r="B2824" s="6" t="s">
        <v>2789</v>
      </c>
    </row>
    <row r="2825" spans="1:2" x14ac:dyDescent="0.3">
      <c r="A2825" s="7" t="str">
        <f>HYPERLINK("http://www.eatonpowersource.com/products/details/sk170v","SK170V")</f>
        <v>SK170V</v>
      </c>
      <c r="B2825" s="8" t="s">
        <v>2790</v>
      </c>
    </row>
    <row r="2826" spans="1:2" x14ac:dyDescent="0.3">
      <c r="A2826" s="5" t="str">
        <f>HYPERLINK("http://www.eatonpowersource.com/products/details/sk172","SK172")</f>
        <v>SK172</v>
      </c>
      <c r="B2826" s="6" t="s">
        <v>2791</v>
      </c>
    </row>
    <row r="2827" spans="1:2" x14ac:dyDescent="0.3">
      <c r="A2827" s="7" t="str">
        <f>HYPERLINK("http://www.eatonpowersource.com/products/details/sk173","SK173")</f>
        <v>SK173</v>
      </c>
      <c r="B2827" s="8" t="s">
        <v>2791</v>
      </c>
    </row>
    <row r="2828" spans="1:2" x14ac:dyDescent="0.3">
      <c r="A2828" s="5" t="str">
        <f>HYPERLINK("http://www.eatonpowersource.com/products/details/sk173-tv","SK173-TV")</f>
        <v>SK173-TV</v>
      </c>
      <c r="B2828" s="6" t="s">
        <v>2792</v>
      </c>
    </row>
    <row r="2829" spans="1:2" x14ac:dyDescent="0.3">
      <c r="A2829" s="7" t="str">
        <f>HYPERLINK("http://www.eatonpowersource.com/products/details/sk173v","SK173V")</f>
        <v>SK173V</v>
      </c>
      <c r="B2829" s="8" t="s">
        <v>2793</v>
      </c>
    </row>
    <row r="2830" spans="1:2" x14ac:dyDescent="0.3">
      <c r="A2830" s="5" t="str">
        <f>HYPERLINK("http://www.eatonpowersource.com/products/details/sk176","SK176")</f>
        <v>SK176</v>
      </c>
      <c r="B2830" s="6" t="s">
        <v>2794</v>
      </c>
    </row>
    <row r="2831" spans="1:2" x14ac:dyDescent="0.3">
      <c r="A2831" s="7" t="str">
        <f>HYPERLINK("http://www.eatonpowersource.com/products/details/sk177","SK177")</f>
        <v>SK177</v>
      </c>
      <c r="B2831" s="8" t="s">
        <v>2795</v>
      </c>
    </row>
    <row r="2832" spans="1:2" x14ac:dyDescent="0.3">
      <c r="A2832" s="5" t="str">
        <f>HYPERLINK("http://www.eatonpowersource.com/products/details/sk177v","SK177V")</f>
        <v>SK177V</v>
      </c>
      <c r="B2832" s="6" t="s">
        <v>2796</v>
      </c>
    </row>
    <row r="2833" spans="1:2" x14ac:dyDescent="0.3">
      <c r="A2833" s="7" t="str">
        <f>HYPERLINK("http://www.eatonpowersource.com/products/details/sk178","SK178")</f>
        <v>SK178</v>
      </c>
      <c r="B2833" s="8" t="s">
        <v>2797</v>
      </c>
    </row>
    <row r="2834" spans="1:2" x14ac:dyDescent="0.3">
      <c r="A2834" s="5" t="str">
        <f>HYPERLINK("http://www.eatonpowersource.com/products/details/sk182","SK182")</f>
        <v>SK182</v>
      </c>
      <c r="B2834" s="6" t="s">
        <v>2798</v>
      </c>
    </row>
    <row r="2835" spans="1:2" x14ac:dyDescent="0.3">
      <c r="A2835" s="7" t="str">
        <f>HYPERLINK("http://www.eatonpowersource.com/products/details/sk187-01","SK187-01")</f>
        <v>SK187-01</v>
      </c>
      <c r="B2835" s="8" t="s">
        <v>2799</v>
      </c>
    </row>
    <row r="2836" spans="1:2" x14ac:dyDescent="0.3">
      <c r="A2836" s="5" t="str">
        <f>HYPERLINK("http://www.eatonpowersource.com/products/details/sk187-01v","SK187-01V")</f>
        <v>SK187-01V</v>
      </c>
      <c r="B2836" s="6" t="s">
        <v>2800</v>
      </c>
    </row>
    <row r="2837" spans="1:2" x14ac:dyDescent="0.3">
      <c r="A2837" s="7" t="str">
        <f>HYPERLINK("http://www.eatonpowersource.com/products/details/sk187-02","SK187-02")</f>
        <v>SK187-02</v>
      </c>
      <c r="B2837" s="8" t="s">
        <v>2801</v>
      </c>
    </row>
    <row r="2838" spans="1:2" x14ac:dyDescent="0.3">
      <c r="A2838" s="5" t="str">
        <f>HYPERLINK("http://www.eatonpowersource.com/products/details/sk187-02v","SK187-02V")</f>
        <v>SK187-02V</v>
      </c>
      <c r="B2838" s="6" t="s">
        <v>2802</v>
      </c>
    </row>
    <row r="2839" spans="1:2" x14ac:dyDescent="0.3">
      <c r="A2839" s="7" t="str">
        <f>HYPERLINK("http://www.eatonpowersource.com/products/details/sk189v","SK189V")</f>
        <v>SK189V</v>
      </c>
      <c r="B2839" s="8" t="s">
        <v>2803</v>
      </c>
    </row>
    <row r="2840" spans="1:2" x14ac:dyDescent="0.3">
      <c r="A2840" s="5" t="str">
        <f>HYPERLINK("http://www.eatonpowersource.com/products/details/sk190","SK190")</f>
        <v>SK190</v>
      </c>
      <c r="B2840" s="6" t="s">
        <v>2804</v>
      </c>
    </row>
    <row r="2841" spans="1:2" x14ac:dyDescent="0.3">
      <c r="A2841" s="7" t="str">
        <f>HYPERLINK("http://www.eatonpowersource.com/products/details/sk192","SK192")</f>
        <v>SK192</v>
      </c>
      <c r="B2841" s="8" t="s">
        <v>2805</v>
      </c>
    </row>
    <row r="2842" spans="1:2" x14ac:dyDescent="0.3">
      <c r="A2842" s="5" t="str">
        <f>HYPERLINK("http://www.eatonpowersource.com/products/details/sk201","SK201")</f>
        <v>SK201</v>
      </c>
      <c r="B2842" s="6" t="s">
        <v>2806</v>
      </c>
    </row>
    <row r="2843" spans="1:2" x14ac:dyDescent="0.3">
      <c r="A2843" s="7" t="str">
        <f>HYPERLINK("http://www.eatonpowersource.com/products/details/sk202v","SK202V")</f>
        <v>SK202V</v>
      </c>
      <c r="B2843" s="8" t="s">
        <v>2807</v>
      </c>
    </row>
    <row r="2844" spans="1:2" x14ac:dyDescent="0.3">
      <c r="A2844" s="5" t="str">
        <f>HYPERLINK("http://www.eatonpowersource.com/products/details/sk207","SK207")</f>
        <v>SK207</v>
      </c>
      <c r="B2844" s="6" t="s">
        <v>2808</v>
      </c>
    </row>
    <row r="2845" spans="1:2" x14ac:dyDescent="0.3">
      <c r="A2845" s="7" t="str">
        <f>HYPERLINK("http://www.eatonpowersource.com/products/details/sk222","SK222")</f>
        <v>SK222</v>
      </c>
      <c r="B2845" s="8" t="s">
        <v>2797</v>
      </c>
    </row>
    <row r="2846" spans="1:2" x14ac:dyDescent="0.3">
      <c r="A2846" s="5" t="str">
        <f>HYPERLINK("http://www.eatonpowersource.com/products/details/sk226","SK226")</f>
        <v>SK226</v>
      </c>
      <c r="B2846" s="6" t="s">
        <v>2809</v>
      </c>
    </row>
    <row r="2847" spans="1:2" x14ac:dyDescent="0.3">
      <c r="A2847" s="7" t="str">
        <f>HYPERLINK("http://www.eatonpowersource.com/products/details/sk231","SK231")</f>
        <v>SK231</v>
      </c>
      <c r="B2847" s="8" t="s">
        <v>2810</v>
      </c>
    </row>
    <row r="2848" spans="1:2" x14ac:dyDescent="0.3">
      <c r="A2848" s="5" t="str">
        <f>HYPERLINK("http://www.eatonpowersource.com/products/details/sk243","SK243")</f>
        <v>SK243</v>
      </c>
      <c r="B2848" s="6" t="s">
        <v>2811</v>
      </c>
    </row>
    <row r="2849" spans="1:2" x14ac:dyDescent="0.3">
      <c r="A2849" s="7" t="str">
        <f>HYPERLINK("http://www.eatonpowersource.com/products/details/sk243v","SK243V")</f>
        <v>SK243V</v>
      </c>
      <c r="B2849" s="8" t="s">
        <v>2812</v>
      </c>
    </row>
    <row r="2850" spans="1:2" x14ac:dyDescent="0.3">
      <c r="A2850" s="5" t="str">
        <f>HYPERLINK("http://www.eatonpowersource.com/products/details/sk258v","SK258V")</f>
        <v>SK258V</v>
      </c>
      <c r="B2850" s="6" t="s">
        <v>2813</v>
      </c>
    </row>
    <row r="2851" spans="1:2" x14ac:dyDescent="0.3">
      <c r="A2851" s="7" t="str">
        <f>HYPERLINK("http://www.eatonpowersource.com/products/details/sk275","SK275")</f>
        <v>SK275</v>
      </c>
      <c r="B2851" s="8" t="s">
        <v>2814</v>
      </c>
    </row>
    <row r="2852" spans="1:2" x14ac:dyDescent="0.3">
      <c r="A2852" s="5" t="str">
        <f>HYPERLINK("http://www.eatonpowersource.com/products/details/sk275v","SK275V")</f>
        <v>SK275V</v>
      </c>
      <c r="B2852" s="6" t="s">
        <v>2815</v>
      </c>
    </row>
    <row r="2853" spans="1:2" x14ac:dyDescent="0.3">
      <c r="A2853" s="7" t="str">
        <f>HYPERLINK("http://www.eatonpowersource.com/products/details/sk280","SK280")</f>
        <v>SK280</v>
      </c>
      <c r="B2853" s="8" t="s">
        <v>2816</v>
      </c>
    </row>
    <row r="2854" spans="1:2" x14ac:dyDescent="0.3">
      <c r="A2854" s="5" t="str">
        <f>HYPERLINK("http://www.eatonpowersource.com/products/details/sk282","SK282")</f>
        <v>SK282</v>
      </c>
      <c r="B2854" s="6" t="s">
        <v>2817</v>
      </c>
    </row>
    <row r="2855" spans="1:2" x14ac:dyDescent="0.3">
      <c r="A2855" s="7" t="str">
        <f>HYPERLINK("http://www.eatonpowersource.com/products/details/sk288","SK288")</f>
        <v>SK288</v>
      </c>
      <c r="B2855" s="8" t="s">
        <v>2818</v>
      </c>
    </row>
    <row r="2856" spans="1:2" x14ac:dyDescent="0.3">
      <c r="A2856" s="5" t="str">
        <f>HYPERLINK("http://www.eatonpowersource.com/products/details/sk301a","SK301A")</f>
        <v>SK301A</v>
      </c>
      <c r="B2856" s="6" t="s">
        <v>2819</v>
      </c>
    </row>
    <row r="2857" spans="1:2" x14ac:dyDescent="0.3">
      <c r="A2857" s="7" t="str">
        <f>HYPERLINK("http://www.eatonpowersource.com/products/details/sk301b","SK301B")</f>
        <v>SK301B</v>
      </c>
      <c r="B2857" s="8" t="s">
        <v>2820</v>
      </c>
    </row>
    <row r="2858" spans="1:2" x14ac:dyDescent="0.3">
      <c r="A2858" s="5" t="str">
        <f>HYPERLINK("http://www.eatonpowersource.com/products/details/sk301d","SK301D")</f>
        <v>SK301D</v>
      </c>
      <c r="B2858" s="6" t="s">
        <v>2821</v>
      </c>
    </row>
    <row r="2859" spans="1:2" x14ac:dyDescent="0.3">
      <c r="A2859" s="7" t="str">
        <f>HYPERLINK("http://www.eatonpowersource.com/products/details/sk301e","SK301E")</f>
        <v>SK301E</v>
      </c>
      <c r="B2859" s="8" t="s">
        <v>2822</v>
      </c>
    </row>
    <row r="2860" spans="1:2" x14ac:dyDescent="0.3">
      <c r="A2860" s="5" t="str">
        <f>HYPERLINK("http://www.eatonpowersource.com/products/details/sk322","SK322")</f>
        <v>SK322</v>
      </c>
      <c r="B2860" s="6" t="s">
        <v>2823</v>
      </c>
    </row>
    <row r="2861" spans="1:2" x14ac:dyDescent="0.3">
      <c r="A2861" s="7" t="str">
        <f>HYPERLINK("http://www.eatonpowersource.com/products/details/sk338","SK338")</f>
        <v>SK338</v>
      </c>
      <c r="B2861" s="8" t="s">
        <v>2824</v>
      </c>
    </row>
    <row r="2862" spans="1:2" x14ac:dyDescent="0.3">
      <c r="A2862" s="5" t="str">
        <f>HYPERLINK("http://www.eatonpowersource.com/products/details/sk339","SK339")</f>
        <v>SK339</v>
      </c>
      <c r="B2862" s="6" t="s">
        <v>2825</v>
      </c>
    </row>
    <row r="2863" spans="1:2" x14ac:dyDescent="0.3">
      <c r="A2863" s="7" t="str">
        <f>HYPERLINK("http://www.eatonpowersource.com/products/details/sk339v","SK339V")</f>
        <v>SK339V</v>
      </c>
      <c r="B2863" s="8" t="s">
        <v>2826</v>
      </c>
    </row>
    <row r="2864" spans="1:2" x14ac:dyDescent="0.3">
      <c r="A2864" s="5" t="str">
        <f>HYPERLINK("http://www.eatonpowersource.com/products/details/sk348","SK348")</f>
        <v>SK348</v>
      </c>
      <c r="B2864" s="6" t="s">
        <v>2827</v>
      </c>
    </row>
    <row r="2865" spans="1:2" x14ac:dyDescent="0.3">
      <c r="A2865" s="7" t="str">
        <f>HYPERLINK("http://www.eatonpowersource.com/products/details/sk351","SK351")</f>
        <v>SK351</v>
      </c>
      <c r="B2865" s="8" t="s">
        <v>2828</v>
      </c>
    </row>
    <row r="2866" spans="1:2" x14ac:dyDescent="0.3">
      <c r="A2866" s="5" t="str">
        <f>HYPERLINK("http://www.eatonpowersource.com/products/details/sk355","SK355")</f>
        <v>SK355</v>
      </c>
      <c r="B2866" s="6" t="s">
        <v>2829</v>
      </c>
    </row>
    <row r="2867" spans="1:2" x14ac:dyDescent="0.3">
      <c r="A2867" s="7" t="str">
        <f>HYPERLINK("http://www.eatonpowersource.com/products/details/sk360sv","SK360SV")</f>
        <v>SK360SV</v>
      </c>
      <c r="B2867" s="8" t="s">
        <v>2830</v>
      </c>
    </row>
    <row r="2868" spans="1:2" x14ac:dyDescent="0.3">
      <c r="A2868" s="5" t="str">
        <f>HYPERLINK("http://www.eatonpowersource.com/products/details/sk363","SK363")</f>
        <v>SK363</v>
      </c>
      <c r="B2868" s="6" t="s">
        <v>2831</v>
      </c>
    </row>
    <row r="2869" spans="1:2" x14ac:dyDescent="0.3">
      <c r="A2869" s="7" t="str">
        <f>HYPERLINK("http://www.eatonpowersource.com/products/details/sk381","SK381")</f>
        <v>SK381</v>
      </c>
      <c r="B2869" s="8" t="s">
        <v>2832</v>
      </c>
    </row>
    <row r="2870" spans="1:2" x14ac:dyDescent="0.3">
      <c r="A2870" s="5" t="str">
        <f>HYPERLINK("http://www.eatonpowersource.com/products/details/sk381v","SK381V")</f>
        <v>SK381V</v>
      </c>
      <c r="B2870" s="6" t="s">
        <v>2833</v>
      </c>
    </row>
    <row r="2871" spans="1:2" x14ac:dyDescent="0.3">
      <c r="A2871" s="7" t="str">
        <f>HYPERLINK("http://www.eatonpowersource.com/products/details/sk390","SK390")</f>
        <v>SK390</v>
      </c>
      <c r="B2871" s="8" t="s">
        <v>2834</v>
      </c>
    </row>
    <row r="2872" spans="1:2" x14ac:dyDescent="0.3">
      <c r="A2872" s="5" t="str">
        <f>HYPERLINK("http://www.eatonpowersource.com/products/details/sk390-01p","SK390-01P")</f>
        <v>SK390-01P</v>
      </c>
      <c r="B2872" s="6" t="s">
        <v>2835</v>
      </c>
    </row>
    <row r="2873" spans="1:2" x14ac:dyDescent="0.3">
      <c r="A2873" s="7" t="str">
        <f>HYPERLINK("http://www.eatonpowersource.com/products/details/sk390-01v","SK390-01V")</f>
        <v>SK390-01V</v>
      </c>
      <c r="B2873" s="8" t="s">
        <v>2836</v>
      </c>
    </row>
    <row r="2874" spans="1:2" x14ac:dyDescent="0.3">
      <c r="A2874" s="5" t="str">
        <f>HYPERLINK("http://www.eatonpowersource.com/products/details/sk390-02-n","SK390-02-N")</f>
        <v>SK390-02-N</v>
      </c>
      <c r="B2874" s="6" t="s">
        <v>2837</v>
      </c>
    </row>
    <row r="2875" spans="1:2" x14ac:dyDescent="0.3">
      <c r="A2875" s="7" t="str">
        <f>HYPERLINK("http://www.eatonpowersource.com/products/details/sk395","SK395")</f>
        <v>SK395</v>
      </c>
      <c r="B2875" s="8" t="s">
        <v>2838</v>
      </c>
    </row>
    <row r="2876" spans="1:2" x14ac:dyDescent="0.3">
      <c r="A2876" s="5" t="str">
        <f>HYPERLINK("http://www.eatonpowersource.com/products/details/sk395-p","SK395-P")</f>
        <v>SK395-P</v>
      </c>
      <c r="B2876" s="6" t="s">
        <v>2839</v>
      </c>
    </row>
    <row r="2877" spans="1:2" x14ac:dyDescent="0.3">
      <c r="A2877" s="7" t="str">
        <f>HYPERLINK("http://www.eatonpowersource.com/products/details/sk395v","SK395V")</f>
        <v>SK395V</v>
      </c>
      <c r="B2877" s="8" t="s">
        <v>2840</v>
      </c>
    </row>
    <row r="2878" spans="1:2" x14ac:dyDescent="0.3">
      <c r="A2878" s="5" t="str">
        <f>HYPERLINK("http://www.eatonpowersource.com/products/details/sk396","SK396")</f>
        <v>SK396</v>
      </c>
      <c r="B2878" s="6" t="s">
        <v>2841</v>
      </c>
    </row>
    <row r="2879" spans="1:2" x14ac:dyDescent="0.3">
      <c r="A2879" s="7" t="str">
        <f>HYPERLINK("http://www.eatonpowersource.com/products/details/sk396v","SK396V")</f>
        <v>SK396V</v>
      </c>
      <c r="B2879" s="8" t="s">
        <v>2842</v>
      </c>
    </row>
    <row r="2880" spans="1:2" x14ac:dyDescent="0.3">
      <c r="A2880" s="5" t="str">
        <f>HYPERLINK("http://www.eatonpowersource.com/products/details/sk405-01","SK405-01")</f>
        <v>SK405-01</v>
      </c>
      <c r="B2880" s="6" t="s">
        <v>2843</v>
      </c>
    </row>
    <row r="2881" spans="1:2" x14ac:dyDescent="0.3">
      <c r="A2881" s="7" t="str">
        <f>HYPERLINK("http://www.eatonpowersource.com/products/details/sk415","SK415")</f>
        <v>SK415</v>
      </c>
      <c r="B2881" s="8" t="s">
        <v>2844</v>
      </c>
    </row>
    <row r="2882" spans="1:2" x14ac:dyDescent="0.3">
      <c r="A2882" s="5" t="str">
        <f>HYPERLINK("http://www.eatonpowersource.com/products/details/sk417","SK417")</f>
        <v>SK417</v>
      </c>
      <c r="B2882" s="6" t="s">
        <v>2845</v>
      </c>
    </row>
    <row r="2883" spans="1:2" x14ac:dyDescent="0.3">
      <c r="A2883" s="7" t="str">
        <f>HYPERLINK("http://www.eatonpowersource.com/products/details/sk417-p","SK417-P")</f>
        <v>SK417-P</v>
      </c>
      <c r="B2883" s="8" t="s">
        <v>2846</v>
      </c>
    </row>
    <row r="2884" spans="1:2" x14ac:dyDescent="0.3">
      <c r="A2884" s="5" t="str">
        <f>HYPERLINK("http://www.eatonpowersource.com/products/details/sk417v","SK417V")</f>
        <v>SK417V</v>
      </c>
      <c r="B2884" s="6" t="s">
        <v>2847</v>
      </c>
    </row>
    <row r="2885" spans="1:2" x14ac:dyDescent="0.3">
      <c r="A2885" s="7" t="str">
        <f>HYPERLINK("http://www.eatonpowersource.com/products/details/sk430","SK430")</f>
        <v>SK430</v>
      </c>
      <c r="B2885" s="8" t="s">
        <v>2848</v>
      </c>
    </row>
    <row r="2886" spans="1:2" x14ac:dyDescent="0.3">
      <c r="A2886" s="5" t="str">
        <f>HYPERLINK("http://www.eatonpowersource.com/products/details/sk430p","SK430P")</f>
        <v>SK430P</v>
      </c>
      <c r="B2886" s="6" t="s">
        <v>2849</v>
      </c>
    </row>
    <row r="2887" spans="1:2" x14ac:dyDescent="0.3">
      <c r="A2887" s="7" t="str">
        <f>HYPERLINK("http://www.eatonpowersource.com/products/details/sk430v","SK430V")</f>
        <v>SK430V</v>
      </c>
      <c r="B2887" s="8" t="s">
        <v>2850</v>
      </c>
    </row>
    <row r="2888" spans="1:2" x14ac:dyDescent="0.3">
      <c r="A2888" s="5" t="str">
        <f>HYPERLINK("http://www.eatonpowersource.com/products/details/sk437","SK437")</f>
        <v>SK437</v>
      </c>
      <c r="B2888" s="6" t="s">
        <v>2851</v>
      </c>
    </row>
    <row r="2889" spans="1:2" x14ac:dyDescent="0.3">
      <c r="A2889" s="7" t="str">
        <f>HYPERLINK("http://www.eatonpowersource.com/products/details/sk437v","SK437V")</f>
        <v>SK437V</v>
      </c>
      <c r="B2889" s="8" t="s">
        <v>2852</v>
      </c>
    </row>
    <row r="2890" spans="1:2" x14ac:dyDescent="0.3">
      <c r="A2890" s="5" t="str">
        <f>HYPERLINK("http://www.eatonpowersource.com/products/details/sk441","SK441")</f>
        <v>SK441</v>
      </c>
      <c r="B2890" s="6" t="s">
        <v>2853</v>
      </c>
    </row>
    <row r="2891" spans="1:2" x14ac:dyDescent="0.3">
      <c r="A2891" s="7" t="str">
        <f>HYPERLINK("http://www.eatonpowersource.com/products/details/sk446","SK446")</f>
        <v>SK446</v>
      </c>
      <c r="B2891" s="8" t="s">
        <v>2853</v>
      </c>
    </row>
    <row r="2892" spans="1:2" x14ac:dyDescent="0.3">
      <c r="A2892" s="5" t="str">
        <f>HYPERLINK("http://www.eatonpowersource.com/products/details/sk446v","SK446V")</f>
        <v>SK446V</v>
      </c>
      <c r="B2892" s="6" t="s">
        <v>2854</v>
      </c>
    </row>
    <row r="2893" spans="1:2" x14ac:dyDescent="0.3">
      <c r="A2893" s="7" t="str">
        <f>HYPERLINK("http://www.eatonpowersource.com/products/details/sk451","SK451")</f>
        <v>SK451</v>
      </c>
      <c r="B2893" s="8" t="s">
        <v>2855</v>
      </c>
    </row>
    <row r="2894" spans="1:2" x14ac:dyDescent="0.3">
      <c r="A2894" s="5" t="str">
        <f>HYPERLINK("http://www.eatonpowersource.com/products/details/sk451v","SK451V")</f>
        <v>SK451V</v>
      </c>
      <c r="B2894" s="6" t="s">
        <v>2856</v>
      </c>
    </row>
    <row r="2895" spans="1:2" x14ac:dyDescent="0.3">
      <c r="A2895" s="7" t="str">
        <f>HYPERLINK("http://www.eatonpowersource.com/products/details/sk452v","SK452V")</f>
        <v>SK452V</v>
      </c>
      <c r="B2895" s="8" t="s">
        <v>2857</v>
      </c>
    </row>
    <row r="2896" spans="1:2" x14ac:dyDescent="0.3">
      <c r="A2896" s="5" t="str">
        <f>HYPERLINK("http://www.eatonpowersource.com/products/details/sk464","SK464")</f>
        <v>SK464</v>
      </c>
      <c r="B2896" s="6" t="s">
        <v>2858</v>
      </c>
    </row>
    <row r="2897" spans="1:2" x14ac:dyDescent="0.3">
      <c r="A2897" s="7" t="str">
        <f>HYPERLINK("http://www.eatonpowersource.com/products/details/sk545-s","SK545-S")</f>
        <v>SK545-S</v>
      </c>
      <c r="B2897" s="8" t="s">
        <v>2859</v>
      </c>
    </row>
    <row r="2898" spans="1:2" x14ac:dyDescent="0.3">
      <c r="A2898" s="5" t="str">
        <f>HYPERLINK("http://www.eatonpowersource.com/products/details/sk575","SK575")</f>
        <v>SK575</v>
      </c>
      <c r="B2898" s="6" t="s">
        <v>2860</v>
      </c>
    </row>
    <row r="2899" spans="1:2" x14ac:dyDescent="0.3">
      <c r="A2899" s="7" t="str">
        <f>HYPERLINK("http://www.eatonpowersource.com/products/details/sk578","SK578")</f>
        <v>SK578</v>
      </c>
      <c r="B2899" s="8" t="s">
        <v>2861</v>
      </c>
    </row>
    <row r="2900" spans="1:2" x14ac:dyDescent="0.3">
      <c r="A2900" s="5" t="str">
        <f>HYPERLINK("http://www.eatonpowersource.com/products/details/sk578v","SK578V")</f>
        <v>SK578V</v>
      </c>
      <c r="B2900" s="6" t="s">
        <v>2862</v>
      </c>
    </row>
    <row r="2901" spans="1:2" x14ac:dyDescent="0.3">
      <c r="A2901" s="7" t="str">
        <f>HYPERLINK("http://www.eatonpowersource.com/products/details/sk579","SK579")</f>
        <v>SK579</v>
      </c>
      <c r="B2901" s="8" t="s">
        <v>2863</v>
      </c>
    </row>
    <row r="2902" spans="1:2" x14ac:dyDescent="0.3">
      <c r="A2902" s="5" t="str">
        <f>HYPERLINK("http://www.eatonpowersource.com/products/details/sk579v","SK579V")</f>
        <v>SK579V</v>
      </c>
      <c r="B2902" s="6" t="s">
        <v>2864</v>
      </c>
    </row>
    <row r="2903" spans="1:2" x14ac:dyDescent="0.3">
      <c r="A2903" s="7" t="str">
        <f>HYPERLINK("http://www.eatonpowersource.com/products/details/sk593","SK593")</f>
        <v>SK593</v>
      </c>
      <c r="B2903" s="8" t="s">
        <v>2865</v>
      </c>
    </row>
    <row r="2904" spans="1:2" x14ac:dyDescent="0.3">
      <c r="A2904" s="5" t="str">
        <f>HYPERLINK("http://www.eatonpowersource.com/products/details/sk597","SK597")</f>
        <v>SK597</v>
      </c>
      <c r="B2904" s="6" t="s">
        <v>2866</v>
      </c>
    </row>
    <row r="2905" spans="1:2" x14ac:dyDescent="0.3">
      <c r="A2905" s="7" t="str">
        <f>HYPERLINK("http://www.eatonpowersource.com/products/details/sk597v","SK597V")</f>
        <v>SK597V</v>
      </c>
      <c r="B2905" s="8" t="s">
        <v>2867</v>
      </c>
    </row>
    <row r="2906" spans="1:2" x14ac:dyDescent="0.3">
      <c r="A2906" s="5" t="str">
        <f>HYPERLINK("http://www.eatonpowersource.com/products/details/sk613","SK613")</f>
        <v>SK613</v>
      </c>
      <c r="B2906" s="6" t="s">
        <v>2868</v>
      </c>
    </row>
    <row r="2907" spans="1:2" x14ac:dyDescent="0.3">
      <c r="A2907" s="7" t="str">
        <f>HYPERLINK("http://www.eatonpowersource.com/products/details/sk613v","SK613V")</f>
        <v>SK613V</v>
      </c>
      <c r="B2907" s="8" t="s">
        <v>2869</v>
      </c>
    </row>
    <row r="2908" spans="1:2" x14ac:dyDescent="0.3">
      <c r="A2908" s="5" t="str">
        <f>HYPERLINK("http://www.eatonpowersource.com/products/details/sk614","SK614")</f>
        <v>SK614</v>
      </c>
      <c r="B2908" s="6" t="s">
        <v>2870</v>
      </c>
    </row>
    <row r="2909" spans="1:2" x14ac:dyDescent="0.3">
      <c r="A2909" s="7" t="str">
        <f>HYPERLINK("http://www.eatonpowersource.com/products/details/sk615","SK615")</f>
        <v>SK615</v>
      </c>
      <c r="B2909" s="8" t="s">
        <v>2871</v>
      </c>
    </row>
    <row r="2910" spans="1:2" x14ac:dyDescent="0.3">
      <c r="A2910" s="5" t="str">
        <f>HYPERLINK("http://www.eatonpowersource.com/products/details/sk617v","SK617V")</f>
        <v>SK617V</v>
      </c>
      <c r="B2910" s="6" t="s">
        <v>2872</v>
      </c>
    </row>
    <row r="2911" spans="1:2" x14ac:dyDescent="0.3">
      <c r="A2911" s="7" t="str">
        <f>HYPERLINK("http://www.eatonpowersource.com/products/details/sk618","SK618")</f>
        <v>SK618</v>
      </c>
      <c r="B2911" s="8" t="s">
        <v>2873</v>
      </c>
    </row>
    <row r="2912" spans="1:2" x14ac:dyDescent="0.3">
      <c r="A2912" s="5" t="str">
        <f>HYPERLINK("http://www.eatonpowersource.com/products/details/sk618v","SK618V")</f>
        <v>SK618V</v>
      </c>
      <c r="B2912" s="6" t="s">
        <v>2874</v>
      </c>
    </row>
    <row r="2913" spans="1:2" x14ac:dyDescent="0.3">
      <c r="A2913" s="7" t="str">
        <f>HYPERLINK("http://www.eatonpowersource.com/products/details/sk632","SK632")</f>
        <v>SK632</v>
      </c>
      <c r="B2913" s="8" t="s">
        <v>2875</v>
      </c>
    </row>
    <row r="2914" spans="1:2" x14ac:dyDescent="0.3">
      <c r="A2914" s="5" t="str">
        <f>HYPERLINK("http://www.eatonpowersource.com/products/details/sk633","SK633")</f>
        <v>SK633</v>
      </c>
      <c r="B2914" s="6" t="s">
        <v>2876</v>
      </c>
    </row>
    <row r="2915" spans="1:2" x14ac:dyDescent="0.3">
      <c r="A2915" s="7" t="str">
        <f>HYPERLINK("http://www.eatonpowersource.com/products/details/sk633v","SK633V")</f>
        <v>SK633V</v>
      </c>
      <c r="B2915" s="8" t="s">
        <v>2877</v>
      </c>
    </row>
    <row r="2916" spans="1:2" x14ac:dyDescent="0.3">
      <c r="A2916" s="5" t="str">
        <f>HYPERLINK("http://www.eatonpowersource.com/products/details/sk634","SK634")</f>
        <v>SK634</v>
      </c>
      <c r="B2916" s="6" t="s">
        <v>2878</v>
      </c>
    </row>
    <row r="2917" spans="1:2" x14ac:dyDescent="0.3">
      <c r="A2917" s="7" t="str">
        <f>HYPERLINK("http://www.eatonpowersource.com/products/details/sk634-p","SK634-P")</f>
        <v>SK634-P</v>
      </c>
      <c r="B2917" s="8" t="s">
        <v>2879</v>
      </c>
    </row>
    <row r="2918" spans="1:2" x14ac:dyDescent="0.3">
      <c r="A2918" s="5" t="str">
        <f>HYPERLINK("http://www.eatonpowersource.com/products/details/sk645","SK645")</f>
        <v>SK645</v>
      </c>
      <c r="B2918" s="6" t="s">
        <v>2880</v>
      </c>
    </row>
    <row r="2919" spans="1:2" x14ac:dyDescent="0.3">
      <c r="A2919" s="7" t="str">
        <f>HYPERLINK("http://www.eatonpowersource.com/products/details/sk645v","SK645V")</f>
        <v>SK645V</v>
      </c>
      <c r="B2919" s="8" t="s">
        <v>2881</v>
      </c>
    </row>
    <row r="2920" spans="1:2" x14ac:dyDescent="0.3">
      <c r="A2920" s="5" t="str">
        <f>HYPERLINK("http://www.eatonpowersource.com/products/details/sk648v","SK648V")</f>
        <v>SK648V</v>
      </c>
      <c r="B2920" s="6" t="s">
        <v>2882</v>
      </c>
    </row>
    <row r="2921" spans="1:2" x14ac:dyDescent="0.3">
      <c r="A2921" s="7" t="str">
        <f>HYPERLINK("http://www.eatonpowersource.com/products/details/sk661","SK661")</f>
        <v>SK661</v>
      </c>
      <c r="B2921" s="8" t="s">
        <v>2883</v>
      </c>
    </row>
    <row r="2922" spans="1:2" x14ac:dyDescent="0.3">
      <c r="A2922" s="5" t="str">
        <f>HYPERLINK("http://www.eatonpowersource.com/products/details/sk661v","SK661V")</f>
        <v>SK661V</v>
      </c>
      <c r="B2922" s="6" t="s">
        <v>2884</v>
      </c>
    </row>
    <row r="2923" spans="1:2" x14ac:dyDescent="0.3">
      <c r="A2923" s="7" t="str">
        <f>HYPERLINK("http://www.eatonpowersource.com/products/details/sk670","SK670")</f>
        <v>SK670</v>
      </c>
      <c r="B2923" s="8" t="s">
        <v>2885</v>
      </c>
    </row>
    <row r="2924" spans="1:2" x14ac:dyDescent="0.3">
      <c r="A2924" s="5" t="str">
        <f>HYPERLINK("http://www.eatonpowersource.com/products/details/sk670v","SK670V")</f>
        <v>SK670V</v>
      </c>
      <c r="B2924" s="6" t="s">
        <v>2886</v>
      </c>
    </row>
    <row r="2925" spans="1:2" x14ac:dyDescent="0.3">
      <c r="A2925" s="7" t="str">
        <f>HYPERLINK("http://www.eatonpowersource.com/products/details/sk683","SK683")</f>
        <v>SK683</v>
      </c>
      <c r="B2925" s="8" t="s">
        <v>2887</v>
      </c>
    </row>
    <row r="2926" spans="1:2" x14ac:dyDescent="0.3">
      <c r="A2926" s="5" t="str">
        <f>HYPERLINK("http://www.eatonpowersource.com/products/details/sk683v","SK683V")</f>
        <v>SK683V</v>
      </c>
      <c r="B2926" s="6" t="s">
        <v>2888</v>
      </c>
    </row>
    <row r="2927" spans="1:2" x14ac:dyDescent="0.3">
      <c r="A2927" s="7" t="str">
        <f>HYPERLINK("http://www.eatonpowersource.com/products/details/sk686","SK686")</f>
        <v>SK686</v>
      </c>
      <c r="B2927" s="8" t="s">
        <v>2889</v>
      </c>
    </row>
    <row r="2928" spans="1:2" x14ac:dyDescent="0.3">
      <c r="A2928" s="5" t="str">
        <f>HYPERLINK("http://www.eatonpowersource.com/products/details/sk686v","SK686V")</f>
        <v>SK686V</v>
      </c>
      <c r="B2928" s="6" t="s">
        <v>2890</v>
      </c>
    </row>
    <row r="2929" spans="1:2" x14ac:dyDescent="0.3">
      <c r="A2929" s="7" t="str">
        <f>HYPERLINK("http://www.eatonpowersource.com/products/details/sk687","SK687")</f>
        <v>SK687</v>
      </c>
      <c r="B2929" s="8" t="s">
        <v>2891</v>
      </c>
    </row>
    <row r="2930" spans="1:2" x14ac:dyDescent="0.3">
      <c r="A2930" s="5" t="str">
        <f>HYPERLINK("http://www.eatonpowersource.com/products/details/sk702","SK702")</f>
        <v>SK702</v>
      </c>
      <c r="B2930" s="6" t="s">
        <v>2892</v>
      </c>
    </row>
    <row r="2931" spans="1:2" x14ac:dyDescent="0.3">
      <c r="A2931" s="7" t="str">
        <f>HYPERLINK("http://www.eatonpowersource.com/products/details/sk724","SK724")</f>
        <v>SK724</v>
      </c>
      <c r="B2931" s="8" t="s">
        <v>2893</v>
      </c>
    </row>
    <row r="2932" spans="1:2" x14ac:dyDescent="0.3">
      <c r="A2932" s="5" t="str">
        <f>HYPERLINK("http://www.eatonpowersource.com/products/details/sk737","SK737")</f>
        <v>SK737</v>
      </c>
      <c r="B2932" s="6" t="s">
        <v>2894</v>
      </c>
    </row>
    <row r="2933" spans="1:2" x14ac:dyDescent="0.3">
      <c r="A2933" s="7" t="str">
        <f>HYPERLINK("http://www.eatonpowersource.com/products/details/sk750","SK750")</f>
        <v>SK750</v>
      </c>
      <c r="B2933" s="8" t="s">
        <v>2895</v>
      </c>
    </row>
    <row r="2934" spans="1:2" x14ac:dyDescent="0.3">
      <c r="A2934" s="5" t="str">
        <f>HYPERLINK("http://www.eatonpowersource.com/products/details/sk814","SK814")</f>
        <v>SK814</v>
      </c>
      <c r="B2934" s="6" t="s">
        <v>2896</v>
      </c>
    </row>
    <row r="2935" spans="1:2" x14ac:dyDescent="0.3">
      <c r="A2935" s="7" t="str">
        <f>HYPERLINK("http://www.eatonpowersource.com/products/details/sk815","SK815")</f>
        <v>SK815</v>
      </c>
      <c r="B2935" s="8" t="s">
        <v>2897</v>
      </c>
    </row>
    <row r="2936" spans="1:2" x14ac:dyDescent="0.3">
      <c r="A2936" s="5" t="str">
        <f>HYPERLINK("http://www.eatonpowersource.com/products/details/sk829","SK829")</f>
        <v>SK829</v>
      </c>
      <c r="B2936" s="6" t="s">
        <v>2898</v>
      </c>
    </row>
    <row r="2937" spans="1:2" x14ac:dyDescent="0.3">
      <c r="A2937" s="7" t="str">
        <f>HYPERLINK("http://www.eatonpowersource.com/products/details/sk830","SK830")</f>
        <v>SK830</v>
      </c>
      <c r="B2937" s="8" t="s">
        <v>2899</v>
      </c>
    </row>
    <row r="2938" spans="1:2" x14ac:dyDescent="0.3">
      <c r="A2938" s="5" t="str">
        <f>HYPERLINK("http://www.eatonpowersource.com/products/details/sk830-p","SK830-P")</f>
        <v>SK830-P</v>
      </c>
      <c r="B2938" s="6" t="s">
        <v>2900</v>
      </c>
    </row>
    <row r="2939" spans="1:2" x14ac:dyDescent="0.3">
      <c r="A2939" s="7" t="str">
        <f>HYPERLINK("http://www.eatonpowersource.com/products/details/sk830v","SK830V")</f>
        <v>SK830V</v>
      </c>
      <c r="B2939" s="8" t="s">
        <v>2901</v>
      </c>
    </row>
    <row r="2940" spans="1:2" x14ac:dyDescent="0.3">
      <c r="A2940" s="5" t="str">
        <f>HYPERLINK("http://www.eatonpowersource.com/products/details/sk832","SK832")</f>
        <v>SK832</v>
      </c>
      <c r="B2940" s="6" t="s">
        <v>2902</v>
      </c>
    </row>
    <row r="2941" spans="1:2" x14ac:dyDescent="0.3">
      <c r="A2941" s="7" t="str">
        <f>HYPERLINK("http://www.eatonpowersource.com/products/details/sk832v","SK832V")</f>
        <v>SK832V</v>
      </c>
      <c r="B2941" s="8" t="s">
        <v>2903</v>
      </c>
    </row>
    <row r="2942" spans="1:2" x14ac:dyDescent="0.3">
      <c r="A2942" s="5" t="str">
        <f>HYPERLINK("http://www.eatonpowersource.com/products/details/sk833","SK833")</f>
        <v>SK833</v>
      </c>
      <c r="B2942" s="6" t="s">
        <v>2904</v>
      </c>
    </row>
    <row r="2943" spans="1:2" x14ac:dyDescent="0.3">
      <c r="A2943" s="7" t="str">
        <f>HYPERLINK("http://www.eatonpowersource.com/products/details/sk833v","SK833V")</f>
        <v>SK833V</v>
      </c>
      <c r="B2943" s="8" t="s">
        <v>2905</v>
      </c>
    </row>
    <row r="2944" spans="1:2" x14ac:dyDescent="0.3">
      <c r="A2944" s="5" t="str">
        <f>HYPERLINK("http://www.eatonpowersource.com/products/details/sk834v","SK834V")</f>
        <v>SK834V</v>
      </c>
      <c r="B2944" s="6" t="s">
        <v>2906</v>
      </c>
    </row>
    <row r="2945" spans="1:2" x14ac:dyDescent="0.3">
      <c r="A2945" s="7" t="str">
        <f>HYPERLINK("http://www.eatonpowersource.com/products/details/sk885","SK885")</f>
        <v>SK885</v>
      </c>
      <c r="B2945" s="8" t="s">
        <v>2907</v>
      </c>
    </row>
    <row r="2946" spans="1:2" x14ac:dyDescent="0.3">
      <c r="A2946" s="5" t="str">
        <f>HYPERLINK("http://www.eatonpowersource.com/products/details/sk920","SK920")</f>
        <v>SK920</v>
      </c>
      <c r="B2946" s="6" t="s">
        <v>2908</v>
      </c>
    </row>
    <row r="2947" spans="1:2" x14ac:dyDescent="0.3">
      <c r="A2947" s="7" t="str">
        <f>HYPERLINK("http://www.eatonpowersource.com/products/details/sk937","SK937")</f>
        <v>SK937</v>
      </c>
      <c r="B2947" s="8" t="s">
        <v>2909</v>
      </c>
    </row>
    <row r="2948" spans="1:2" x14ac:dyDescent="0.3">
      <c r="A2948" s="5" t="str">
        <f>HYPERLINK("http://www.eatonpowersource.com/products/details/sk947p","SK947P")</f>
        <v>SK947P</v>
      </c>
      <c r="B2948" s="6" t="s">
        <v>2910</v>
      </c>
    </row>
    <row r="2949" spans="1:2" x14ac:dyDescent="0.3">
      <c r="A2949" s="7" t="str">
        <f>HYPERLINK("http://www.eatonpowersource.com/products/details/sk971","SK971")</f>
        <v>SK971</v>
      </c>
      <c r="B2949" s="8" t="s">
        <v>2911</v>
      </c>
    </row>
    <row r="2950" spans="1:2" x14ac:dyDescent="0.3">
      <c r="A2950" s="5" t="str">
        <f>HYPERLINK("http://www.eatonpowersource.com/products/details/sk971-p","SK971-P")</f>
        <v>SK971-P</v>
      </c>
      <c r="B2950" s="6" t="s">
        <v>2912</v>
      </c>
    </row>
    <row r="2951" spans="1:2" x14ac:dyDescent="0.3">
      <c r="A2951" s="7" t="str">
        <f>HYPERLINK("http://www.eatonpowersource.com/products/details/sk973","SK973")</f>
        <v>SK973</v>
      </c>
      <c r="B2951" s="8" t="s">
        <v>2913</v>
      </c>
    </row>
    <row r="2952" spans="1:2" x14ac:dyDescent="0.3">
      <c r="A2952" s="5" t="str">
        <f>HYPERLINK("http://www.eatonpowersource.com/products/details/sk973v","SK973V")</f>
        <v>SK973V</v>
      </c>
      <c r="B2952" s="6" t="s">
        <v>2913</v>
      </c>
    </row>
    <row r="2953" spans="1:2" x14ac:dyDescent="0.3">
      <c r="A2953" s="7" t="str">
        <f>HYPERLINK("http://www.eatonpowersource.com/products/details/sk974","SK974")</f>
        <v>SK974</v>
      </c>
      <c r="B2953" s="8" t="s">
        <v>2914</v>
      </c>
    </row>
    <row r="2954" spans="1:2" x14ac:dyDescent="0.3">
      <c r="A2954" s="5" t="str">
        <f>HYPERLINK("http://www.eatonpowersource.com/products/details/sk974v","SK974V")</f>
        <v>SK974V</v>
      </c>
      <c r="B2954" s="6" t="s">
        <v>2915</v>
      </c>
    </row>
    <row r="2955" spans="1:2" x14ac:dyDescent="0.3">
      <c r="A2955" s="7" t="str">
        <f>HYPERLINK("http://www.eatonpowersource.com/products/details/sk975","SK975")</f>
        <v>SK975</v>
      </c>
      <c r="B2955" s="8" t="s">
        <v>2916</v>
      </c>
    </row>
    <row r="2956" spans="1:2" x14ac:dyDescent="0.3">
      <c r="A2956" s="5" t="str">
        <f>HYPERLINK("http://www.eatonpowersource.com/products/details/sk975v","SK975V")</f>
        <v>SK975V</v>
      </c>
      <c r="B2956" s="6" t="s">
        <v>2917</v>
      </c>
    </row>
    <row r="2957" spans="1:2" x14ac:dyDescent="0.3">
      <c r="A2957" s="7" t="str">
        <f>HYPERLINK("http://www.eatonpowersource.com/products/details/sk978","SK978")</f>
        <v>SK978</v>
      </c>
      <c r="B2957" s="8" t="s">
        <v>2918</v>
      </c>
    </row>
    <row r="2958" spans="1:2" x14ac:dyDescent="0.3">
      <c r="A2958" s="5" t="str">
        <f>HYPERLINK("http://www.eatonpowersource.com/products/details/sk984","SK984")</f>
        <v>SK984</v>
      </c>
      <c r="B2958" s="6" t="s">
        <v>2919</v>
      </c>
    </row>
    <row r="2959" spans="1:2" x14ac:dyDescent="0.3">
      <c r="A2959" s="7" t="str">
        <f>HYPERLINK("http://www.eatonpowersource.com/products/details/sk986","SK986")</f>
        <v>SK986</v>
      </c>
      <c r="B2959" s="8" t="s">
        <v>2919</v>
      </c>
    </row>
    <row r="2960" spans="1:2" x14ac:dyDescent="0.3">
      <c r="A2960" s="5" t="str">
        <f>HYPERLINK("http://www.eatonpowersource.com/products/details/sk991","SK991")</f>
        <v>SK991</v>
      </c>
      <c r="B2960" s="6" t="s">
        <v>2920</v>
      </c>
    </row>
    <row r="2961" spans="1:2" x14ac:dyDescent="0.3">
      <c r="A2961" s="1" t="str">
        <f>HYPERLINK("http://www.eatonpowersource.com/products/details/sk992","SK992")</f>
        <v>SK992</v>
      </c>
      <c r="B2961" s="2" t="s">
        <v>2921</v>
      </c>
    </row>
    <row r="2962" spans="1:2" x14ac:dyDescent="0.3">
      <c r="A2962" s="5" t="str">
        <f>HYPERLINK("http://www.eatonpowersource.com/products/configure/industrial%20valves/details/02-108054","02-108054")</f>
        <v>02-108054</v>
      </c>
      <c r="B2962" s="6" t="s">
        <v>2922</v>
      </c>
    </row>
    <row r="2963" spans="1:2" x14ac:dyDescent="0.3">
      <c r="A2963" s="7" t="str">
        <f>HYPERLINK("http://www.eatonpowersource.com/products/configure/industrial%20valves/details/02-108270","02-108270")</f>
        <v>02-108270</v>
      </c>
      <c r="B2963" s="8" t="s">
        <v>2923</v>
      </c>
    </row>
    <row r="2964" spans="1:2" x14ac:dyDescent="0.3">
      <c r="A2964" s="5" t="str">
        <f>HYPERLINK("http://www.eatonpowersource.com/products/configure/industrial%20valves/details/02-108402","02-108402")</f>
        <v>02-108402</v>
      </c>
      <c r="B2964" s="6" t="s">
        <v>2924</v>
      </c>
    </row>
    <row r="2965" spans="1:2" x14ac:dyDescent="0.3">
      <c r="A2965" s="7" t="str">
        <f>HYPERLINK("http://www.eatonpowersource.com/products/configure/industrial%20valves/details/02-108416","02-108416")</f>
        <v>02-108416</v>
      </c>
      <c r="B2965" s="8" t="s">
        <v>2925</v>
      </c>
    </row>
    <row r="2966" spans="1:2" x14ac:dyDescent="0.3">
      <c r="A2966" s="5" t="str">
        <f>HYPERLINK("http://www.eatonpowersource.com/products/configure/industrial%20valves/details/02-108673","02-108673")</f>
        <v>02-108673</v>
      </c>
      <c r="B2966" s="6" t="s">
        <v>2926</v>
      </c>
    </row>
    <row r="2967" spans="1:2" x14ac:dyDescent="0.3">
      <c r="A2967" s="7" t="str">
        <f>HYPERLINK("http://www.eatonpowersource.com/products/configure/industrial%20valves/details/02-108757","02-108757")</f>
        <v>02-108757</v>
      </c>
      <c r="B2967" s="8" t="s">
        <v>2927</v>
      </c>
    </row>
    <row r="2968" spans="1:2" x14ac:dyDescent="0.3">
      <c r="A2968" s="5" t="str">
        <f>HYPERLINK("http://www.eatonpowersource.com/products/configure/industrial%20valves/details/02-108790","02-108790")</f>
        <v>02-108790</v>
      </c>
      <c r="B2968" s="6" t="s">
        <v>2928</v>
      </c>
    </row>
    <row r="2969" spans="1:2" x14ac:dyDescent="0.3">
      <c r="A2969" s="7" t="str">
        <f>HYPERLINK("http://www.eatonpowersource.com/products/configure/industrial%20valves/details/02-108817","02-108817")</f>
        <v>02-108817</v>
      </c>
      <c r="B2969" s="8" t="s">
        <v>2929</v>
      </c>
    </row>
    <row r="2970" spans="1:2" x14ac:dyDescent="0.3">
      <c r="A2970" s="5" t="str">
        <f>HYPERLINK("http://www.eatonpowersource.com/products/configure/industrial%20valves/details/02-108881","02-108881")</f>
        <v>02-108881</v>
      </c>
      <c r="B2970" s="6" t="s">
        <v>2930</v>
      </c>
    </row>
    <row r="2971" spans="1:2" x14ac:dyDescent="0.3">
      <c r="A2971" s="7" t="str">
        <f>HYPERLINK("http://www.eatonpowersource.com/products/configure/industrial%20valves/details/02-108968","02-108968")</f>
        <v>02-108968</v>
      </c>
      <c r="B2971" s="8" t="s">
        <v>2931</v>
      </c>
    </row>
    <row r="2972" spans="1:2" x14ac:dyDescent="0.3">
      <c r="A2972" s="5" t="str">
        <f>HYPERLINK("http://www.eatonpowersource.com/products/configure/industrial%20valves/details/02-109139","02-109139")</f>
        <v>02-109139</v>
      </c>
      <c r="B2972" s="6" t="s">
        <v>2932</v>
      </c>
    </row>
    <row r="2973" spans="1:2" x14ac:dyDescent="0.3">
      <c r="A2973" s="7" t="str">
        <f>HYPERLINK("http://www.eatonpowersource.com/products/configure/industrial%20valves/details/02-110121","02-110121")</f>
        <v>02-110121</v>
      </c>
      <c r="B2973" s="8" t="s">
        <v>2933</v>
      </c>
    </row>
    <row r="2974" spans="1:2" x14ac:dyDescent="0.3">
      <c r="A2974" s="5" t="str">
        <f>HYPERLINK("http://www.eatonpowersource.com/products/configure/industrial%20valves/details/02-138523","02-138523")</f>
        <v>02-138523</v>
      </c>
      <c r="B2974" s="6" t="s">
        <v>2934</v>
      </c>
    </row>
    <row r="2975" spans="1:2" x14ac:dyDescent="0.3">
      <c r="A2975" s="7" t="str">
        <f>HYPERLINK("http://www.eatonpowersource.com/products/configure/industrial%20valves/details/02-147321","02-147321")</f>
        <v>02-147321</v>
      </c>
      <c r="B2975" s="8" t="s">
        <v>2935</v>
      </c>
    </row>
    <row r="2976" spans="1:2" x14ac:dyDescent="0.3">
      <c r="A2976" s="5" t="str">
        <f>HYPERLINK("http://www.eatonpowersource.com/products/configure/industrial%20valves/details/02-155959","02-155959")</f>
        <v>02-155959</v>
      </c>
      <c r="B2976" s="6" t="s">
        <v>2936</v>
      </c>
    </row>
    <row r="2977" spans="1:2" x14ac:dyDescent="0.3">
      <c r="A2977" s="7" t="str">
        <f>HYPERLINK("http://www.eatonpowersource.com/products/configure/industrial%20valves/details/02-155960","02-155960")</f>
        <v>02-155960</v>
      </c>
      <c r="B2977" s="8" t="s">
        <v>2937</v>
      </c>
    </row>
    <row r="2978" spans="1:2" x14ac:dyDescent="0.3">
      <c r="A2978" s="5" t="str">
        <f>HYPERLINK("http://www.eatonpowersource.com/products/configure/industrial%20valves/details/02-155961","02-155961")</f>
        <v>02-155961</v>
      </c>
      <c r="B2978" s="6" t="s">
        <v>2938</v>
      </c>
    </row>
    <row r="2979" spans="1:2" x14ac:dyDescent="0.3">
      <c r="A2979" s="7" t="str">
        <f>HYPERLINK("http://www.eatonpowersource.com/products/configure/industrial%20valves/details/02-155962","02-155962")</f>
        <v>02-155962</v>
      </c>
      <c r="B2979" s="8" t="s">
        <v>2939</v>
      </c>
    </row>
    <row r="2980" spans="1:2" x14ac:dyDescent="0.3">
      <c r="A2980" s="5" t="str">
        <f>HYPERLINK("http://www.eatonpowersource.com/products/configure/industrial%20valves/details/02-155969","02-155969")</f>
        <v>02-155969</v>
      </c>
      <c r="B2980" s="6" t="s">
        <v>2940</v>
      </c>
    </row>
    <row r="2981" spans="1:2" x14ac:dyDescent="0.3">
      <c r="A2981" s="7" t="str">
        <f>HYPERLINK("http://www.eatonpowersource.com/products/configure/industrial%20valves/details/02-155970","02-155970")</f>
        <v>02-155970</v>
      </c>
      <c r="B2981" s="8" t="s">
        <v>2941</v>
      </c>
    </row>
    <row r="2982" spans="1:2" x14ac:dyDescent="0.3">
      <c r="A2982" s="5" t="str">
        <f>HYPERLINK("http://www.eatonpowersource.com/products/configure/industrial%20valves/details/02-155977","02-155977")</f>
        <v>02-155977</v>
      </c>
      <c r="B2982" s="6" t="s">
        <v>2942</v>
      </c>
    </row>
    <row r="2983" spans="1:2" x14ac:dyDescent="0.3">
      <c r="A2983" s="7" t="str">
        <f>HYPERLINK("http://www.eatonpowersource.com/products/configure/industrial%20valves/details/02-155978","02-155978")</f>
        <v>02-155978</v>
      </c>
      <c r="B2983" s="8" t="s">
        <v>2943</v>
      </c>
    </row>
    <row r="2984" spans="1:2" x14ac:dyDescent="0.3">
      <c r="A2984" s="5" t="str">
        <f>HYPERLINK("http://www.eatonpowersource.com/products/configure/industrial%20valves/details/02-155986","02-155986")</f>
        <v>02-155986</v>
      </c>
      <c r="B2984" s="6" t="s">
        <v>2944</v>
      </c>
    </row>
    <row r="2985" spans="1:2" x14ac:dyDescent="0.3">
      <c r="A2985" s="7" t="str">
        <f>HYPERLINK("http://www.eatonpowersource.com/products/configure/industrial%20valves/details/02-155987","02-155987")</f>
        <v>02-155987</v>
      </c>
      <c r="B2985" s="8" t="s">
        <v>2945</v>
      </c>
    </row>
    <row r="2986" spans="1:2" x14ac:dyDescent="0.3">
      <c r="A2986" s="5" t="str">
        <f>HYPERLINK("http://www.eatonpowersource.com/products/configure/industrial%20valves/details/02-155988","02-155988")</f>
        <v>02-155988</v>
      </c>
      <c r="B2986" s="6" t="s">
        <v>2946</v>
      </c>
    </row>
    <row r="2987" spans="1:2" x14ac:dyDescent="0.3">
      <c r="A2987" s="7" t="str">
        <f>HYPERLINK("http://www.eatonpowersource.com/products/configure/industrial%20valves/details/02-156983","02-156983")</f>
        <v>02-156983</v>
      </c>
      <c r="B2987" s="8" t="s">
        <v>2947</v>
      </c>
    </row>
    <row r="2988" spans="1:2" x14ac:dyDescent="0.3">
      <c r="A2988" s="5" t="str">
        <f>HYPERLINK("http://www.eatonpowersource.com/products/configure/industrial%20valves/details/02-157431","02-157431")</f>
        <v>02-157431</v>
      </c>
      <c r="B2988" s="6" t="s">
        <v>2948</v>
      </c>
    </row>
    <row r="2989" spans="1:2" x14ac:dyDescent="0.3">
      <c r="A2989" s="7" t="str">
        <f>HYPERLINK("http://www.eatonpowersource.com/products/configure/industrial%20valves/details/02-157757","02-157757")</f>
        <v>02-157757</v>
      </c>
      <c r="B2989" s="8" t="s">
        <v>2949</v>
      </c>
    </row>
    <row r="2990" spans="1:2" x14ac:dyDescent="0.3">
      <c r="A2990" s="5" t="str">
        <f>HYPERLINK("http://www.eatonpowersource.com/products/configure/industrial%20valves/details/02-310771","02-310771")</f>
        <v>02-310771</v>
      </c>
      <c r="B2990" s="6" t="s">
        <v>2950</v>
      </c>
    </row>
    <row r="2991" spans="1:2" x14ac:dyDescent="0.3">
      <c r="A2991" s="7" t="str">
        <f>HYPERLINK("http://www.eatonpowersource.com/products/configure/industrial%20valves/details/02-311186","02-311186")</f>
        <v>02-311186</v>
      </c>
      <c r="B2991" s="8" t="s">
        <v>2951</v>
      </c>
    </row>
    <row r="2992" spans="1:2" x14ac:dyDescent="0.3">
      <c r="A2992" s="5" t="str">
        <f>HYPERLINK("http://www.eatonpowersource.com/products/configure/industrial%20valves/details/02-311196","02-311196")</f>
        <v>02-311196</v>
      </c>
      <c r="B2992" s="6" t="s">
        <v>2952</v>
      </c>
    </row>
    <row r="2993" spans="1:2" x14ac:dyDescent="0.3">
      <c r="A2993" s="7" t="str">
        <f>HYPERLINK("http://www.eatonpowersource.com/products/configure/industrial%20valves/details/02-311206","02-311206")</f>
        <v>02-311206</v>
      </c>
      <c r="B2993" s="8" t="s">
        <v>2953</v>
      </c>
    </row>
    <row r="2994" spans="1:2" x14ac:dyDescent="0.3">
      <c r="A2994" s="5" t="str">
        <f>HYPERLINK("http://www.eatonpowersource.com/products/configure/industrial%20valves/details/02-311216","02-311216")</f>
        <v>02-311216</v>
      </c>
      <c r="B2994" s="6" t="s">
        <v>2954</v>
      </c>
    </row>
    <row r="2995" spans="1:2" x14ac:dyDescent="0.3">
      <c r="A2995" s="7" t="str">
        <f>HYPERLINK("http://www.eatonpowersource.com/products/configure/industrial%20valves/details/02-311218","02-311218")</f>
        <v>02-311218</v>
      </c>
      <c r="B2995" s="8" t="s">
        <v>2955</v>
      </c>
    </row>
    <row r="2996" spans="1:2" x14ac:dyDescent="0.3">
      <c r="A2996" s="5" t="str">
        <f>HYPERLINK("http://www.eatonpowersource.com/products/configure/industrial%20valves/details/02-312396","02-312396")</f>
        <v>02-312396</v>
      </c>
      <c r="B2996" s="6" t="s">
        <v>2956</v>
      </c>
    </row>
    <row r="2997" spans="1:2" x14ac:dyDescent="0.3">
      <c r="A2997" s="7" t="str">
        <f>HYPERLINK("http://www.eatonpowersource.com/products/configure/industrial%20valves/details/02-312436","02-312436")</f>
        <v>02-312436</v>
      </c>
      <c r="B2997" s="8" t="s">
        <v>2957</v>
      </c>
    </row>
    <row r="2998" spans="1:2" x14ac:dyDescent="0.3">
      <c r="A2998" s="5" t="str">
        <f>HYPERLINK("http://www.eatonpowersource.com/products/configure/industrial%20valves/details/02-318415","02-318415")</f>
        <v>02-318415</v>
      </c>
      <c r="B2998" s="6" t="s">
        <v>2958</v>
      </c>
    </row>
    <row r="2999" spans="1:2" x14ac:dyDescent="0.3">
      <c r="A2999" s="7" t="str">
        <f>HYPERLINK("http://www.eatonpowersource.com/products/configure/industrial%20valves/details/02-318532","02-318532")</f>
        <v>02-318532</v>
      </c>
      <c r="B2999" s="8" t="s">
        <v>2959</v>
      </c>
    </row>
    <row r="3000" spans="1:2" x14ac:dyDescent="0.3">
      <c r="A3000" s="5" t="str">
        <f>HYPERLINK("http://www.eatonpowersource.com/products/configure/industrial%20valves/details/02-323115","02-323115")</f>
        <v>02-323115</v>
      </c>
      <c r="B3000" s="6" t="s">
        <v>2960</v>
      </c>
    </row>
    <row r="3001" spans="1:2" x14ac:dyDescent="0.3">
      <c r="A3001" s="7" t="str">
        <f>HYPERLINK("http://www.eatonpowersource.com/products/configure/industrial%20valves/details/02-323324","02-323324")</f>
        <v>02-323324</v>
      </c>
      <c r="B3001" s="8" t="s">
        <v>2961</v>
      </c>
    </row>
    <row r="3002" spans="1:2" x14ac:dyDescent="0.3">
      <c r="A3002" s="5" t="str">
        <f>HYPERLINK("http://www.eatonpowersource.com/products/configure/industrial%20valves/details/02-332165","02-332165")</f>
        <v>02-332165</v>
      </c>
      <c r="B3002" s="6" t="s">
        <v>2962</v>
      </c>
    </row>
    <row r="3003" spans="1:2" x14ac:dyDescent="0.3">
      <c r="A3003" s="7" t="str">
        <f>HYPERLINK("http://www.eatonpowersource.com/products/configure/industrial%20valves/details/02-332633","02-332633")</f>
        <v>02-332633</v>
      </c>
      <c r="B3003" s="8" t="s">
        <v>2963</v>
      </c>
    </row>
    <row r="3004" spans="1:2" x14ac:dyDescent="0.3">
      <c r="A3004" s="5" t="str">
        <f>HYPERLINK("http://www.eatonpowersource.com/products/configure/industrial%20valves/details/02-332969","02-332969")</f>
        <v>02-332969</v>
      </c>
      <c r="B3004" s="6" t="s">
        <v>2964</v>
      </c>
    </row>
    <row r="3005" spans="1:2" x14ac:dyDescent="0.3">
      <c r="A3005" s="7" t="str">
        <f>HYPERLINK("http://www.eatonpowersource.com/products/configure/industrial%20valves/details/02-333401","02-333401")</f>
        <v>02-333401</v>
      </c>
      <c r="B3005" s="8" t="s">
        <v>2965</v>
      </c>
    </row>
    <row r="3006" spans="1:2" x14ac:dyDescent="0.3">
      <c r="A3006" s="5" t="str">
        <f>HYPERLINK("http://www.eatonpowersource.com/products/configure/industrial%20valves/details/02-350525","02-350525")</f>
        <v>02-350525</v>
      </c>
      <c r="B3006" s="6" t="s">
        <v>2966</v>
      </c>
    </row>
    <row r="3007" spans="1:2" x14ac:dyDescent="0.3">
      <c r="A3007" s="7" t="str">
        <f>HYPERLINK("http://www.eatonpowersource.com/products/configure/industrial%20valves/details/02-350718","02-350718")</f>
        <v>02-350718</v>
      </c>
      <c r="B3007" s="8" t="s">
        <v>2967</v>
      </c>
    </row>
    <row r="3008" spans="1:2" x14ac:dyDescent="0.3">
      <c r="A3008" s="5" t="str">
        <f>HYPERLINK("http://www.eatonpowersource.com/products/configure/industrial%20valves/details/02-350834","02-350834")</f>
        <v>02-350834</v>
      </c>
      <c r="B3008" s="6" t="s">
        <v>2968</v>
      </c>
    </row>
    <row r="3009" spans="1:2" x14ac:dyDescent="0.3">
      <c r="A3009" s="7" t="str">
        <f>HYPERLINK("http://www.eatonpowersource.com/products/configure/industrial%20valves/details/02-351379","02-351379")</f>
        <v>02-351379</v>
      </c>
      <c r="B3009" s="8" t="s">
        <v>2969</v>
      </c>
    </row>
    <row r="3010" spans="1:2" x14ac:dyDescent="0.3">
      <c r="A3010" s="5" t="str">
        <f>HYPERLINK("http://www.eatonpowersource.com/products/configure/industrial%20valves/details/02-352487","02-352487")</f>
        <v>02-352487</v>
      </c>
      <c r="B3010" s="6" t="s">
        <v>2970</v>
      </c>
    </row>
    <row r="3011" spans="1:2" x14ac:dyDescent="0.3">
      <c r="A3011" s="7" t="str">
        <f>HYPERLINK("http://www.eatonpowersource.com/products/configure/industrial%20valves/details/02-352488","02-352488")</f>
        <v>02-352488</v>
      </c>
      <c r="B3011" s="8" t="s">
        <v>2971</v>
      </c>
    </row>
    <row r="3012" spans="1:2" x14ac:dyDescent="0.3">
      <c r="A3012" s="5" t="str">
        <f>HYPERLINK("http://www.eatonpowersource.com/products/configure/industrial%20valves/details/02-352490","02-352490")</f>
        <v>02-352490</v>
      </c>
      <c r="B3012" s="6" t="s">
        <v>2972</v>
      </c>
    </row>
    <row r="3013" spans="1:2" x14ac:dyDescent="0.3">
      <c r="A3013" s="7" t="str">
        <f>HYPERLINK("http://www.eatonpowersource.com/products/configure/industrial%20valves/details/02-352491","02-352491")</f>
        <v>02-352491</v>
      </c>
      <c r="B3013" s="8" t="s">
        <v>2973</v>
      </c>
    </row>
    <row r="3014" spans="1:2" x14ac:dyDescent="0.3">
      <c r="A3014" s="5" t="str">
        <f>HYPERLINK("http://www.eatonpowersource.com/products/configure/industrial%20valves/details/02-352492","02-352492")</f>
        <v>02-352492</v>
      </c>
      <c r="B3014" s="6" t="s">
        <v>2974</v>
      </c>
    </row>
    <row r="3015" spans="1:2" x14ac:dyDescent="0.3">
      <c r="A3015" s="7" t="str">
        <f>HYPERLINK("http://www.eatonpowersource.com/products/configure/industrial%20valves/details/02-352493","02-352493")</f>
        <v>02-352493</v>
      </c>
      <c r="B3015" s="8" t="s">
        <v>2975</v>
      </c>
    </row>
    <row r="3016" spans="1:2" x14ac:dyDescent="0.3">
      <c r="A3016" s="5" t="str">
        <f>HYPERLINK("http://www.eatonpowersource.com/products/configure/industrial%20valves/details/02-352494","02-352494")</f>
        <v>02-352494</v>
      </c>
      <c r="B3016" s="6" t="s">
        <v>2976</v>
      </c>
    </row>
    <row r="3017" spans="1:2" x14ac:dyDescent="0.3">
      <c r="A3017" s="7" t="str">
        <f>HYPERLINK("http://www.eatonpowersource.com/products/configure/industrial%20valves/details/02-352497","02-352497")</f>
        <v>02-352497</v>
      </c>
      <c r="B3017" s="8" t="s">
        <v>2977</v>
      </c>
    </row>
    <row r="3018" spans="1:2" x14ac:dyDescent="0.3">
      <c r="A3018" s="5" t="str">
        <f>HYPERLINK("http://www.eatonpowersource.com/products/configure/industrial%20valves/details/02-352499","02-352499")</f>
        <v>02-352499</v>
      </c>
      <c r="B3018" s="6" t="s">
        <v>2978</v>
      </c>
    </row>
    <row r="3019" spans="1:2" x14ac:dyDescent="0.3">
      <c r="A3019" s="7" t="str">
        <f>HYPERLINK("http://www.eatonpowersource.com/products/configure/industrial%20valves/details/02-353332","02-353332")</f>
        <v>02-353332</v>
      </c>
      <c r="B3019" s="8" t="s">
        <v>2979</v>
      </c>
    </row>
    <row r="3020" spans="1:2" x14ac:dyDescent="0.3">
      <c r="A3020" s="5" t="str">
        <f>HYPERLINK("http://www.eatonpowersource.com/products/configure/industrial%20valves/details/02-358180","02-358180")</f>
        <v>02-358180</v>
      </c>
      <c r="B3020" s="6" t="s">
        <v>2980</v>
      </c>
    </row>
    <row r="3021" spans="1:2" x14ac:dyDescent="0.3">
      <c r="A3021" s="7" t="str">
        <f>HYPERLINK("http://www.eatonpowersource.com/products/configure/industrial%20valves/details/02-358468","02-358468")</f>
        <v>02-358468</v>
      </c>
      <c r="B3021" s="8" t="s">
        <v>2981</v>
      </c>
    </row>
    <row r="3022" spans="1:2" x14ac:dyDescent="0.3">
      <c r="A3022" s="5" t="str">
        <f>HYPERLINK("http://www.eatonpowersource.com/products/configure/industrial%20valves/details/02-411985","02-411985")</f>
        <v>02-411985</v>
      </c>
      <c r="B3022" s="6" t="s">
        <v>2982</v>
      </c>
    </row>
    <row r="3023" spans="1:2" x14ac:dyDescent="0.3">
      <c r="A3023" s="7" t="str">
        <f>HYPERLINK("http://www.eatonpowersource.com/products/configure/industrial%20valves/details/02-412061","02-412061")</f>
        <v>02-412061</v>
      </c>
      <c r="B3023" s="8" t="s">
        <v>2983</v>
      </c>
    </row>
    <row r="3024" spans="1:2" x14ac:dyDescent="0.3">
      <c r="A3024" s="5" t="str">
        <f>HYPERLINK("http://www.eatonpowersource.com/products/configure/industrial%20valves/details/02-412294","02-412294")</f>
        <v>02-412294</v>
      </c>
      <c r="B3024" s="6" t="s">
        <v>2984</v>
      </c>
    </row>
    <row r="3025" spans="1:2" x14ac:dyDescent="0.3">
      <c r="A3025" s="7" t="str">
        <f>HYPERLINK("http://www.eatonpowersource.com/products/configure/industrial%20valves/details/02-412580","02-412580")</f>
        <v>02-412580</v>
      </c>
      <c r="B3025" s="8" t="s">
        <v>2985</v>
      </c>
    </row>
    <row r="3026" spans="1:2" x14ac:dyDescent="0.3">
      <c r="A3026" s="5" t="str">
        <f>HYPERLINK("http://www.eatonpowersource.com/products/configure/industrial%20valves/details/02-412583","02-412583")</f>
        <v>02-412583</v>
      </c>
      <c r="B3026" s="6" t="s">
        <v>2986</v>
      </c>
    </row>
    <row r="3027" spans="1:2" x14ac:dyDescent="0.3">
      <c r="A3027" s="7" t="str">
        <f>HYPERLINK("http://www.eatonpowersource.com/products/configure/industrial%20valves/details/02-412584","02-412584")</f>
        <v>02-412584</v>
      </c>
      <c r="B3027" s="8" t="s">
        <v>2987</v>
      </c>
    </row>
    <row r="3028" spans="1:2" x14ac:dyDescent="0.3">
      <c r="A3028" s="5" t="str">
        <f>HYPERLINK("http://www.eatonpowersource.com/products/configure/industrial%20valves/details/02-412651","02-412651")</f>
        <v>02-412651</v>
      </c>
      <c r="B3028" s="6" t="s">
        <v>2988</v>
      </c>
    </row>
    <row r="3029" spans="1:2" x14ac:dyDescent="0.3">
      <c r="A3029" s="7" t="str">
        <f>HYPERLINK("http://www.eatonpowersource.com/products/configure/industrial%20valves/details/02-412652","02-412652")</f>
        <v>02-412652</v>
      </c>
      <c r="B3029" s="8" t="s">
        <v>2989</v>
      </c>
    </row>
    <row r="3030" spans="1:2" x14ac:dyDescent="0.3">
      <c r="A3030" s="5" t="str">
        <f>HYPERLINK("http://www.eatonpowersource.com/products/configure/industrial%20valves/details/02-412654","02-412654")</f>
        <v>02-412654</v>
      </c>
      <c r="B3030" s="6" t="s">
        <v>2990</v>
      </c>
    </row>
    <row r="3031" spans="1:2" x14ac:dyDescent="0.3">
      <c r="A3031" s="7" t="str">
        <f>HYPERLINK("http://www.eatonpowersource.com/products/configure/industrial%20valves/details/02-413461","02-413461")</f>
        <v>02-413461</v>
      </c>
      <c r="B3031" s="8" t="s">
        <v>2991</v>
      </c>
    </row>
    <row r="3032" spans="1:2" x14ac:dyDescent="0.3">
      <c r="A3032" s="5" t="str">
        <f>HYPERLINK("http://www.eatonpowersource.com/products/configure/industrial%20valves/details/02-413462","02-413462")</f>
        <v>02-413462</v>
      </c>
      <c r="B3032" s="6" t="s">
        <v>2992</v>
      </c>
    </row>
    <row r="3033" spans="1:2" x14ac:dyDescent="0.3">
      <c r="A3033" s="7" t="str">
        <f>HYPERLINK("http://www.eatonpowersource.com/products/configure/industrial%20valves/details/02-413463","02-413463")</f>
        <v>02-413463</v>
      </c>
      <c r="B3033" s="8" t="s">
        <v>2993</v>
      </c>
    </row>
    <row r="3034" spans="1:2" x14ac:dyDescent="0.3">
      <c r="A3034" s="5" t="str">
        <f>HYPERLINK("http://www.eatonpowersource.com/products/configure/industrial%20valves/details/02-413464","02-413464")</f>
        <v>02-413464</v>
      </c>
      <c r="B3034" s="6" t="s">
        <v>2994</v>
      </c>
    </row>
    <row r="3035" spans="1:2" x14ac:dyDescent="0.3">
      <c r="A3035" s="7" t="str">
        <f>HYPERLINK("http://www.eatonpowersource.com/products/configure/industrial%20valves/details/02-413469","02-413469")</f>
        <v>02-413469</v>
      </c>
      <c r="B3035" s="8" t="s">
        <v>2995</v>
      </c>
    </row>
    <row r="3036" spans="1:2" x14ac:dyDescent="0.3">
      <c r="A3036" s="5" t="str">
        <f>HYPERLINK("http://www.eatonpowersource.com/products/configure/industrial%20valves/details/02-413472","02-413472")</f>
        <v>02-413472</v>
      </c>
      <c r="B3036" s="6" t="s">
        <v>2996</v>
      </c>
    </row>
    <row r="3037" spans="1:2" x14ac:dyDescent="0.3">
      <c r="A3037" s="7" t="str">
        <f>HYPERLINK("http://www.eatonpowersource.com/products/configure/industrial%20valves/details/02-413473","02-413473")</f>
        <v>02-413473</v>
      </c>
      <c r="B3037" s="8" t="s">
        <v>2997</v>
      </c>
    </row>
    <row r="3038" spans="1:2" x14ac:dyDescent="0.3">
      <c r="A3038" s="5" t="str">
        <f>HYPERLINK("http://www.eatonpowersource.com/products/configure/industrial%20valves/details/02-413474","02-413474")</f>
        <v>02-413474</v>
      </c>
      <c r="B3038" s="6" t="s">
        <v>2998</v>
      </c>
    </row>
    <row r="3039" spans="1:2" x14ac:dyDescent="0.3">
      <c r="A3039" s="7" t="str">
        <f>HYPERLINK("http://www.eatonpowersource.com/products/configure/industrial%20valves/details/02-413475","02-413475")</f>
        <v>02-413475</v>
      </c>
      <c r="B3039" s="8" t="s">
        <v>2999</v>
      </c>
    </row>
    <row r="3040" spans="1:2" x14ac:dyDescent="0.3">
      <c r="A3040" s="5" t="str">
        <f>HYPERLINK("http://www.eatonpowersource.com/products/configure/industrial%20valves/details/02-413476","02-413476")</f>
        <v>02-413476</v>
      </c>
      <c r="B3040" s="6" t="s">
        <v>3000</v>
      </c>
    </row>
    <row r="3041" spans="1:2" x14ac:dyDescent="0.3">
      <c r="A3041" s="7" t="str">
        <f>HYPERLINK("http://www.eatonpowersource.com/products/configure/industrial%20valves/details/02-413477","02-413477")</f>
        <v>02-413477</v>
      </c>
      <c r="B3041" s="8" t="s">
        <v>3001</v>
      </c>
    </row>
    <row r="3042" spans="1:2" x14ac:dyDescent="0.3">
      <c r="A3042" s="5" t="str">
        <f>HYPERLINK("http://www.eatonpowersource.com/products/configure/industrial%20valves/details/02-413479","02-413479")</f>
        <v>02-413479</v>
      </c>
      <c r="B3042" s="6" t="s">
        <v>3002</v>
      </c>
    </row>
    <row r="3043" spans="1:2" x14ac:dyDescent="0.3">
      <c r="A3043" s="7" t="str">
        <f>HYPERLINK("http://www.eatonpowersource.com/products/configure/industrial%20valves/details/02-413512","02-413512")</f>
        <v>02-413512</v>
      </c>
      <c r="B3043" s="8" t="s">
        <v>3003</v>
      </c>
    </row>
    <row r="3044" spans="1:2" x14ac:dyDescent="0.3">
      <c r="A3044" s="5" t="str">
        <f>HYPERLINK("http://www.eatonpowersource.com/products/configure/industrial%20valves/details/02-413513","02-413513")</f>
        <v>02-413513</v>
      </c>
      <c r="B3044" s="6" t="s">
        <v>3004</v>
      </c>
    </row>
    <row r="3045" spans="1:2" x14ac:dyDescent="0.3">
      <c r="A3045" s="7" t="str">
        <f>HYPERLINK("http://www.eatonpowersource.com/products/configure/industrial%20valves/details/02-413514","02-413514")</f>
        <v>02-413514</v>
      </c>
      <c r="B3045" s="8" t="s">
        <v>3005</v>
      </c>
    </row>
    <row r="3046" spans="1:2" x14ac:dyDescent="0.3">
      <c r="A3046" s="5" t="str">
        <f>HYPERLINK("http://www.eatonpowersource.com/products/configure/industrial%20valves/details/02-413515","02-413515")</f>
        <v>02-413515</v>
      </c>
      <c r="B3046" s="6" t="s">
        <v>3006</v>
      </c>
    </row>
    <row r="3047" spans="1:2" x14ac:dyDescent="0.3">
      <c r="A3047" s="7" t="str">
        <f>HYPERLINK("http://www.eatonpowersource.com/products/configure/industrial%20valves/details/02-413516","02-413516")</f>
        <v>02-413516</v>
      </c>
      <c r="B3047" s="8" t="s">
        <v>3007</v>
      </c>
    </row>
    <row r="3048" spans="1:2" x14ac:dyDescent="0.3">
      <c r="A3048" s="5" t="str">
        <f>HYPERLINK("http://www.eatonpowersource.com/products/configure/industrial%20valves/details/02-413517","02-413517")</f>
        <v>02-413517</v>
      </c>
      <c r="B3048" s="6" t="s">
        <v>3008</v>
      </c>
    </row>
    <row r="3049" spans="1:2" x14ac:dyDescent="0.3">
      <c r="A3049" s="7" t="str">
        <f>HYPERLINK("http://www.eatonpowersource.com/products/configure/industrial%20valves/details/02-413526","02-413526")</f>
        <v>02-413526</v>
      </c>
      <c r="B3049" s="8" t="s">
        <v>3009</v>
      </c>
    </row>
    <row r="3050" spans="1:2" x14ac:dyDescent="0.3">
      <c r="A3050" s="5" t="str">
        <f>HYPERLINK("http://www.eatonpowersource.com/products/configure/industrial%20valves/details/02-413527","02-413527")</f>
        <v>02-413527</v>
      </c>
      <c r="B3050" s="6" t="s">
        <v>3010</v>
      </c>
    </row>
    <row r="3051" spans="1:2" x14ac:dyDescent="0.3">
      <c r="A3051" s="7" t="str">
        <f>HYPERLINK("http://www.eatonpowersource.com/products/configure/industrial%20valves/details/02-413528","02-413528")</f>
        <v>02-413528</v>
      </c>
      <c r="B3051" s="8" t="s">
        <v>3011</v>
      </c>
    </row>
    <row r="3052" spans="1:2" x14ac:dyDescent="0.3">
      <c r="A3052" s="5" t="str">
        <f>HYPERLINK("http://www.eatonpowersource.com/products/configure/industrial%20valves/details/02-413529","02-413529")</f>
        <v>02-413529</v>
      </c>
      <c r="B3052" s="6" t="s">
        <v>3012</v>
      </c>
    </row>
    <row r="3053" spans="1:2" x14ac:dyDescent="0.3">
      <c r="A3053" s="7" t="str">
        <f>HYPERLINK("http://www.eatonpowersource.com/products/configure/industrial%20valves/details/02-413612","02-413612")</f>
        <v>02-413612</v>
      </c>
      <c r="B3053" s="8" t="s">
        <v>3013</v>
      </c>
    </row>
    <row r="3054" spans="1:2" x14ac:dyDescent="0.3">
      <c r="A3054" s="5" t="str">
        <f>HYPERLINK("http://www.eatonpowersource.com/products/configure/industrial%20valves/details/02-413721","02-413721")</f>
        <v>02-413721</v>
      </c>
      <c r="B3054" s="6" t="s">
        <v>3014</v>
      </c>
    </row>
    <row r="3055" spans="1:2" x14ac:dyDescent="0.3">
      <c r="A3055" s="7" t="str">
        <f>HYPERLINK("http://www.eatonpowersource.com/products/configure/industrial%20valves/details/02-413937","02-413937")</f>
        <v>02-413937</v>
      </c>
      <c r="B3055" s="8" t="s">
        <v>3015</v>
      </c>
    </row>
    <row r="3056" spans="1:2" x14ac:dyDescent="0.3">
      <c r="A3056" s="5" t="str">
        <f>HYPERLINK("http://www.eatonpowersource.com/products/configure/industrial%20valves/details/02-413991","02-413991")</f>
        <v>02-413991</v>
      </c>
      <c r="B3056" s="6" t="s">
        <v>3016</v>
      </c>
    </row>
    <row r="3057" spans="1:2" x14ac:dyDescent="0.3">
      <c r="A3057" s="7" t="str">
        <f>HYPERLINK("http://www.eatonpowersource.com/products/configure/industrial%20valves/details/02-414088","02-414088")</f>
        <v>02-414088</v>
      </c>
      <c r="B3057" s="8" t="s">
        <v>3017</v>
      </c>
    </row>
    <row r="3058" spans="1:2" x14ac:dyDescent="0.3">
      <c r="A3058" s="5" t="str">
        <f>HYPERLINK("http://www.eatonpowersource.com/products/configure/industrial%20valves/details/02-414173","02-414173")</f>
        <v>02-414173</v>
      </c>
      <c r="B3058" s="6" t="s">
        <v>3018</v>
      </c>
    </row>
    <row r="3059" spans="1:2" x14ac:dyDescent="0.3">
      <c r="A3059" s="7" t="str">
        <f>HYPERLINK("http://www.eatonpowersource.com/products/configure/industrial%20valves/details/02-414265","02-414265")</f>
        <v>02-414265</v>
      </c>
      <c r="B3059" s="8" t="s">
        <v>3019</v>
      </c>
    </row>
    <row r="3060" spans="1:2" x14ac:dyDescent="0.3">
      <c r="A3060" s="5" t="str">
        <f>HYPERLINK("http://www.eatonpowersource.com/products/configure/industrial%20valves/details/02-414591","02-414591")</f>
        <v>02-414591</v>
      </c>
      <c r="B3060" s="6" t="s">
        <v>3020</v>
      </c>
    </row>
    <row r="3061" spans="1:2" x14ac:dyDescent="0.3">
      <c r="A3061" s="7" t="str">
        <f>HYPERLINK("http://www.eatonpowersource.com/products/configure/industrial%20valves/details/02-414593","02-414593")</f>
        <v>02-414593</v>
      </c>
      <c r="B3061" s="8" t="s">
        <v>3021</v>
      </c>
    </row>
    <row r="3062" spans="1:2" x14ac:dyDescent="0.3">
      <c r="A3062" s="5" t="str">
        <f>HYPERLINK("http://www.eatonpowersource.com/products/configure/industrial%20valves/details/02-414941","02-414941")</f>
        <v>02-414941</v>
      </c>
      <c r="B3062" s="6" t="s">
        <v>3022</v>
      </c>
    </row>
    <row r="3063" spans="1:2" x14ac:dyDescent="0.3">
      <c r="A3063" s="7" t="str">
        <f>HYPERLINK("http://www.eatonpowersource.com/products/configure/industrial%20valves/details/02-414959","02-414959")</f>
        <v>02-414959</v>
      </c>
      <c r="B3063" s="8" t="s">
        <v>3023</v>
      </c>
    </row>
    <row r="3064" spans="1:2" x14ac:dyDescent="0.3">
      <c r="A3064" s="5" t="str">
        <f>HYPERLINK("http://www.eatonpowersource.com/products/configure/industrial%20valves/details/6037822-001","6037822-001")</f>
        <v>6037822-001</v>
      </c>
      <c r="B3064" s="6" t="s">
        <v>3024</v>
      </c>
    </row>
    <row r="3065" spans="1:2" x14ac:dyDescent="0.3">
      <c r="A3065" s="7" t="str">
        <f>HYPERLINK("http://www.eatonpowersource.com/products/configure/industrial%20valves/details/6044172-001","6044172-001")</f>
        <v>6044172-001</v>
      </c>
      <c r="B3065" s="8" t="s">
        <v>3025</v>
      </c>
    </row>
    <row r="3066" spans="1:2" x14ac:dyDescent="0.3">
      <c r="A3066" s="5" t="str">
        <f>HYPERLINK("http://www.eatonpowersource.com/products/configure/industrial%20valves/details/6044174-001","6044174-001")</f>
        <v>6044174-001</v>
      </c>
      <c r="B3066" s="6" t="s">
        <v>3026</v>
      </c>
    </row>
    <row r="3067" spans="1:2" x14ac:dyDescent="0.3">
      <c r="A3067" s="7" t="str">
        <f>HYPERLINK("http://www.eatonpowersource.com/products/configure/industrial%20valves/details/859542","859542")</f>
        <v>859542</v>
      </c>
      <c r="B3067" s="8" t="s">
        <v>3027</v>
      </c>
    </row>
    <row r="3068" spans="1:2" x14ac:dyDescent="0.3">
      <c r="A3068" s="5" t="str">
        <f>HYPERLINK("http://www.eatonpowersource.com/products/configure/industrial%20valves/details/859543","859543")</f>
        <v>859543</v>
      </c>
      <c r="B3068" s="6" t="s">
        <v>3028</v>
      </c>
    </row>
    <row r="3069" spans="1:2" x14ac:dyDescent="0.3">
      <c r="A3069" s="7" t="str">
        <f>HYPERLINK("http://www.eatonpowersource.com/products/configure/industrial%20valves/details/859544","859544")</f>
        <v>859544</v>
      </c>
      <c r="B3069" s="8" t="s">
        <v>3029</v>
      </c>
    </row>
    <row r="3070" spans="1:2" x14ac:dyDescent="0.3">
      <c r="A3070" s="5" t="str">
        <f>HYPERLINK("http://www.eatonpowersource.com/products/configure/industrial%20valves/details/859545","859545")</f>
        <v>859545</v>
      </c>
      <c r="B3070" s="6" t="s">
        <v>3030</v>
      </c>
    </row>
    <row r="3071" spans="1:2" x14ac:dyDescent="0.3">
      <c r="A3071" s="7" t="str">
        <f>HYPERLINK("http://www.eatonpowersource.com/products/configure/industrial%20valves/details/859546","859546")</f>
        <v>859546</v>
      </c>
      <c r="B3071" s="8" t="s">
        <v>3031</v>
      </c>
    </row>
    <row r="3072" spans="1:2" x14ac:dyDescent="0.3">
      <c r="A3072" s="5" t="str">
        <f>HYPERLINK("http://www.eatonpowersource.com/products/configure/industrial%20valves/details/859547","859547")</f>
        <v>859547</v>
      </c>
      <c r="B3072" s="6" t="s">
        <v>3032</v>
      </c>
    </row>
    <row r="3073" spans="1:2" x14ac:dyDescent="0.3">
      <c r="A3073" s="7" t="str">
        <f>HYPERLINK("http://www.eatonpowersource.com/products/configure/industrial%20valves/details/859548","859548")</f>
        <v>859548</v>
      </c>
      <c r="B3073" s="8" t="s">
        <v>3033</v>
      </c>
    </row>
    <row r="3074" spans="1:2" x14ac:dyDescent="0.3">
      <c r="A3074" s="5" t="str">
        <f>HYPERLINK("http://www.eatonpowersource.com/products/configure/industrial%20valves/details/859549","859549")</f>
        <v>859549</v>
      </c>
      <c r="B3074" s="6" t="s">
        <v>3034</v>
      </c>
    </row>
    <row r="3075" spans="1:2" x14ac:dyDescent="0.3">
      <c r="A3075" s="7" t="str">
        <f>HYPERLINK("http://www.eatonpowersource.com/products/configure/industrial%20valves/details/859550","859550")</f>
        <v>859550</v>
      </c>
      <c r="B3075" s="8" t="s">
        <v>3035</v>
      </c>
    </row>
    <row r="3076" spans="1:2" x14ac:dyDescent="0.3">
      <c r="A3076" s="5" t="str">
        <f>HYPERLINK("http://www.eatonpowersource.com/products/configure/industrial%20valves/details/859551","859551")</f>
        <v>859551</v>
      </c>
      <c r="B3076" s="6" t="s">
        <v>3036</v>
      </c>
    </row>
    <row r="3077" spans="1:2" x14ac:dyDescent="0.3">
      <c r="A3077" s="7" t="str">
        <f>HYPERLINK("http://www.eatonpowersource.com/products/configure/industrial%20valves/details/859552","859552")</f>
        <v>859552</v>
      </c>
      <c r="B3077" s="8" t="s">
        <v>3037</v>
      </c>
    </row>
    <row r="3078" spans="1:2" x14ac:dyDescent="0.3">
      <c r="A3078" s="5" t="str">
        <f>HYPERLINK("http://www.eatonpowersource.com/products/configure/industrial%20valves/details/859553","859553")</f>
        <v>859553</v>
      </c>
      <c r="B3078" s="6" t="s">
        <v>3038</v>
      </c>
    </row>
    <row r="3079" spans="1:2" x14ac:dyDescent="0.3">
      <c r="A3079" s="7" t="str">
        <f>HYPERLINK("http://www.eatonpowersource.com/products/configure/industrial%20valves/details/859554","859554")</f>
        <v>859554</v>
      </c>
      <c r="B3079" s="8" t="s">
        <v>3039</v>
      </c>
    </row>
    <row r="3080" spans="1:2" x14ac:dyDescent="0.3">
      <c r="A3080" s="5" t="str">
        <f>HYPERLINK("http://www.eatonpowersource.com/products/configure/industrial%20valves/details/859555","859555")</f>
        <v>859555</v>
      </c>
      <c r="B3080" s="6" t="s">
        <v>3040</v>
      </c>
    </row>
    <row r="3081" spans="1:2" x14ac:dyDescent="0.3">
      <c r="A3081" s="7" t="str">
        <f>HYPERLINK("http://www.eatonpowersource.com/products/configure/industrial%20valves/details/859556","859556")</f>
        <v>859556</v>
      </c>
      <c r="B3081" s="8" t="s">
        <v>3041</v>
      </c>
    </row>
    <row r="3082" spans="1:2" x14ac:dyDescent="0.3">
      <c r="A3082" s="5" t="str">
        <f>HYPERLINK("http://www.eatonpowersource.com/products/configure/industrial%20valves/details/859557","859557")</f>
        <v>859557</v>
      </c>
      <c r="B3082" s="6" t="s">
        <v>3042</v>
      </c>
    </row>
    <row r="3083" spans="1:2" x14ac:dyDescent="0.3">
      <c r="A3083" s="7" t="str">
        <f>HYPERLINK("http://www.eatonpowersource.com/products/configure/industrial%20valves/details/859558","859558")</f>
        <v>859558</v>
      </c>
      <c r="B3083" s="8" t="s">
        <v>3043</v>
      </c>
    </row>
    <row r="3084" spans="1:2" x14ac:dyDescent="0.3">
      <c r="A3084" s="5" t="str">
        <f>HYPERLINK("http://www.eatonpowersource.com/products/configure/industrial%20valves/details/859559","859559")</f>
        <v>859559</v>
      </c>
      <c r="B3084" s="6" t="s">
        <v>3044</v>
      </c>
    </row>
    <row r="3085" spans="1:2" x14ac:dyDescent="0.3">
      <c r="A3085" s="7" t="str">
        <f>HYPERLINK("http://www.eatonpowersource.com/products/configure/industrial%20valves/details/859560","859560")</f>
        <v>859560</v>
      </c>
      <c r="B3085" s="8" t="s">
        <v>3045</v>
      </c>
    </row>
    <row r="3086" spans="1:2" x14ac:dyDescent="0.3">
      <c r="A3086" s="5" t="str">
        <f>HYPERLINK("http://www.eatonpowersource.com/products/configure/industrial%20valves/details/859562","859562")</f>
        <v>859562</v>
      </c>
      <c r="B3086" s="6" t="s">
        <v>3046</v>
      </c>
    </row>
    <row r="3087" spans="1:2" x14ac:dyDescent="0.3">
      <c r="A3087" s="7" t="str">
        <f>HYPERLINK("http://www.eatonpowersource.com/products/configure/industrial%20valves/details/859563","859563")</f>
        <v>859563</v>
      </c>
      <c r="B3087" s="8" t="s">
        <v>3047</v>
      </c>
    </row>
    <row r="3088" spans="1:2" x14ac:dyDescent="0.3">
      <c r="A3088" s="5" t="str">
        <f>HYPERLINK("http://www.eatonpowersource.com/products/configure/industrial%20valves/details/859564","859564")</f>
        <v>859564</v>
      </c>
      <c r="B3088" s="6" t="s">
        <v>3048</v>
      </c>
    </row>
    <row r="3089" spans="1:2" x14ac:dyDescent="0.3">
      <c r="A3089" s="7" t="str">
        <f>HYPERLINK("http://www.eatonpowersource.com/products/configure/industrial%20valves/details/859565","859565")</f>
        <v>859565</v>
      </c>
      <c r="B3089" s="8" t="s">
        <v>3049</v>
      </c>
    </row>
    <row r="3090" spans="1:2" x14ac:dyDescent="0.3">
      <c r="A3090" s="5" t="str">
        <f>HYPERLINK("http://www.eatonpowersource.com/products/configure/industrial%20valves/details/859566","859566")</f>
        <v>859566</v>
      </c>
      <c r="B3090" s="6" t="s">
        <v>3050</v>
      </c>
    </row>
    <row r="3091" spans="1:2" x14ac:dyDescent="0.3">
      <c r="A3091" s="7" t="str">
        <f>HYPERLINK("http://www.eatonpowersource.com/products/configure/industrial%20valves/details/870113","870113")</f>
        <v>870113</v>
      </c>
      <c r="B3091" s="8" t="s">
        <v>3051</v>
      </c>
    </row>
    <row r="3092" spans="1:2" x14ac:dyDescent="0.3">
      <c r="A3092" s="5" t="str">
        <f>HYPERLINK("http://www.eatonpowersource.com/products/configure/industrial%20valves/details/870163","870163")</f>
        <v>870163</v>
      </c>
      <c r="B3092" s="6" t="s">
        <v>3052</v>
      </c>
    </row>
    <row r="3093" spans="1:2" x14ac:dyDescent="0.3">
      <c r="A3093" s="7" t="str">
        <f>HYPERLINK("http://www.eatonpowersource.com/products/configure/industrial%20valves/details/870169","870169")</f>
        <v>870169</v>
      </c>
      <c r="B3093" s="8" t="s">
        <v>3053</v>
      </c>
    </row>
    <row r="3094" spans="1:2" x14ac:dyDescent="0.3">
      <c r="A3094" s="5" t="str">
        <f>HYPERLINK("http://www.eatonpowersource.com/products/configure/industrial%20valves/details/870294","870294")</f>
        <v>870294</v>
      </c>
      <c r="B3094" s="6" t="s">
        <v>3054</v>
      </c>
    </row>
    <row r="3095" spans="1:2" x14ac:dyDescent="0.3">
      <c r="A3095" s="7" t="str">
        <f>HYPERLINK("http://www.eatonpowersource.com/products/configure/industrial%20valves/details/870416","870416")</f>
        <v>870416</v>
      </c>
      <c r="B3095" s="8" t="s">
        <v>3055</v>
      </c>
    </row>
    <row r="3096" spans="1:2" x14ac:dyDescent="0.3">
      <c r="A3096" s="5" t="str">
        <f>HYPERLINK("http://www.eatonpowersource.com/products/configure/industrial%20valves/details/870952","870952")</f>
        <v>870952</v>
      </c>
      <c r="B3096" s="6" t="s">
        <v>3056</v>
      </c>
    </row>
    <row r="3097" spans="1:2" x14ac:dyDescent="0.3">
      <c r="A3097" s="7" t="str">
        <f>HYPERLINK("http://www.eatonpowersource.com/products/configure/industrial%20valves/details/871074","871074")</f>
        <v>871074</v>
      </c>
      <c r="B3097" s="8" t="s">
        <v>3057</v>
      </c>
    </row>
    <row r="3098" spans="1:2" x14ac:dyDescent="0.3">
      <c r="A3098" s="5" t="str">
        <f>HYPERLINK("http://www.eatonpowersource.com/products/configure/industrial%20valves/details/871110","871110")</f>
        <v>871110</v>
      </c>
      <c r="B3098" s="6" t="s">
        <v>3058</v>
      </c>
    </row>
    <row r="3099" spans="1:2" x14ac:dyDescent="0.3">
      <c r="A3099" s="7" t="str">
        <f>HYPERLINK("http://www.eatonpowersource.com/products/configure/industrial%20valves/details/871264","871264")</f>
        <v>871264</v>
      </c>
      <c r="B3099" s="8" t="s">
        <v>3059</v>
      </c>
    </row>
    <row r="3100" spans="1:2" x14ac:dyDescent="0.3">
      <c r="A3100" s="5" t="str">
        <f>HYPERLINK("http://www.eatonpowersource.com/products/configure/industrial%20valves/details/871285","871285")</f>
        <v>871285</v>
      </c>
      <c r="B3100" s="6" t="s">
        <v>3060</v>
      </c>
    </row>
    <row r="3101" spans="1:2" x14ac:dyDescent="0.3">
      <c r="A3101" s="7" t="str">
        <f>HYPERLINK("http://www.eatonpowersource.com/products/configure/industrial%20valves/details/871350","871350")</f>
        <v>871350</v>
      </c>
      <c r="B3101" s="8" t="s">
        <v>3061</v>
      </c>
    </row>
    <row r="3102" spans="1:2" x14ac:dyDescent="0.3">
      <c r="A3102" s="5" t="str">
        <f>HYPERLINK("http://www.eatonpowersource.com/products/configure/industrial%20valves/details/871354","871354")</f>
        <v>871354</v>
      </c>
      <c r="B3102" s="6" t="s">
        <v>3062</v>
      </c>
    </row>
    <row r="3103" spans="1:2" x14ac:dyDescent="0.3">
      <c r="A3103" s="7" t="str">
        <f>HYPERLINK("http://www.eatonpowersource.com/products/configure/industrial%20valves/details/871395","871395")</f>
        <v>871395</v>
      </c>
      <c r="B3103" s="8" t="s">
        <v>3063</v>
      </c>
    </row>
    <row r="3104" spans="1:2" x14ac:dyDescent="0.3">
      <c r="A3104" s="5" t="str">
        <f>HYPERLINK("http://www.eatonpowersource.com/products/configure/industrial%20valves/details/871428","871428")</f>
        <v>871428</v>
      </c>
      <c r="B3104" s="6" t="s">
        <v>3064</v>
      </c>
    </row>
    <row r="3105" spans="1:2" x14ac:dyDescent="0.3">
      <c r="A3105" s="7" t="str">
        <f>HYPERLINK("http://www.eatonpowersource.com/products/configure/industrial%20valves/details/871589","871589")</f>
        <v>871589</v>
      </c>
      <c r="B3105" s="8" t="s">
        <v>3065</v>
      </c>
    </row>
    <row r="3106" spans="1:2" x14ac:dyDescent="0.3">
      <c r="A3106" s="5" t="str">
        <f>HYPERLINK("http://www.eatonpowersource.com/products/configure/industrial%20valves/details/871606","871606")</f>
        <v>871606</v>
      </c>
      <c r="B3106" s="6" t="s">
        <v>3066</v>
      </c>
    </row>
    <row r="3107" spans="1:2" x14ac:dyDescent="0.3">
      <c r="A3107" s="7" t="str">
        <f>HYPERLINK("http://www.eatonpowersource.com/products/configure/industrial%20valves/details/871684","871684")</f>
        <v>871684</v>
      </c>
      <c r="B3107" s="8" t="s">
        <v>3067</v>
      </c>
    </row>
    <row r="3108" spans="1:2" x14ac:dyDescent="0.3">
      <c r="A3108" s="5" t="str">
        <f>HYPERLINK("http://www.eatonpowersource.com/products/configure/industrial%20valves/details/871819","871819")</f>
        <v>871819</v>
      </c>
      <c r="B3108" s="6" t="s">
        <v>3068</v>
      </c>
    </row>
    <row r="3109" spans="1:2" x14ac:dyDescent="0.3">
      <c r="A3109" s="7" t="str">
        <f>HYPERLINK("http://www.eatonpowersource.com/products/configure/industrial%20valves/details/872204","872204")</f>
        <v>872204</v>
      </c>
      <c r="B3109" s="8" t="s">
        <v>3069</v>
      </c>
    </row>
    <row r="3110" spans="1:2" x14ac:dyDescent="0.3">
      <c r="A3110" s="5" t="str">
        <f>HYPERLINK("http://www.eatonpowersource.com/products/configure/industrial%20valves/details/02-108090","02-108090")</f>
        <v>02-108090</v>
      </c>
      <c r="B3110" s="6" t="s">
        <v>3070</v>
      </c>
    </row>
    <row r="3111" spans="1:2" x14ac:dyDescent="0.3">
      <c r="A3111" s="7" t="str">
        <f>HYPERLINK("http://www.eatonpowersource.com/products/configure/industrial%20valves/details/02-108282","02-108282")</f>
        <v>02-108282</v>
      </c>
      <c r="B3111" s="8" t="s">
        <v>3071</v>
      </c>
    </row>
    <row r="3112" spans="1:2" x14ac:dyDescent="0.3">
      <c r="A3112" s="5" t="str">
        <f>HYPERLINK("http://www.eatonpowersource.com/products/configure/industrial%20valves/details/02-108778","02-108778")</f>
        <v>02-108778</v>
      </c>
      <c r="B3112" s="6" t="s">
        <v>3072</v>
      </c>
    </row>
    <row r="3113" spans="1:2" x14ac:dyDescent="0.3">
      <c r="A3113" s="7" t="str">
        <f>HYPERLINK("http://www.eatonpowersource.com/products/configure/industrial%20valves/details/02-108909","02-108909")</f>
        <v>02-108909</v>
      </c>
      <c r="B3113" s="8" t="s">
        <v>3073</v>
      </c>
    </row>
    <row r="3114" spans="1:2" x14ac:dyDescent="0.3">
      <c r="A3114" s="5" t="str">
        <f>HYPERLINK("http://www.eatonpowersource.com/products/configure/industrial%20valves/details/02-109489","02-109489")</f>
        <v>02-109489</v>
      </c>
      <c r="B3114" s="6" t="s">
        <v>3074</v>
      </c>
    </row>
    <row r="3115" spans="1:2" x14ac:dyDescent="0.3">
      <c r="A3115" s="7" t="str">
        <f>HYPERLINK("http://www.eatonpowersource.com/products/configure/industrial%20valves/details/02-137744","02-137744")</f>
        <v>02-137744</v>
      </c>
      <c r="B3115" s="8" t="s">
        <v>3075</v>
      </c>
    </row>
    <row r="3116" spans="1:2" x14ac:dyDescent="0.3">
      <c r="A3116" s="5" t="str">
        <f>HYPERLINK("http://www.eatonpowersource.com/products/configure/industrial%20valves/details/02-310650","02-310650")</f>
        <v>02-310650</v>
      </c>
      <c r="B3116" s="6" t="s">
        <v>3076</v>
      </c>
    </row>
    <row r="3117" spans="1:2" x14ac:dyDescent="0.3">
      <c r="A3117" s="7" t="str">
        <f>HYPERLINK("http://www.eatonpowersource.com/products/configure/industrial%20valves/details/02-353886","02-353886")</f>
        <v>02-353886</v>
      </c>
      <c r="B3117" s="8" t="s">
        <v>3077</v>
      </c>
    </row>
    <row r="3118" spans="1:2" x14ac:dyDescent="0.3">
      <c r="A3118" s="5" t="str">
        <f>HYPERLINK("http://www.eatonpowersource.com/products/configure/industrial%20valves/details/02-358130","02-358130")</f>
        <v>02-358130</v>
      </c>
      <c r="B3118" s="6" t="s">
        <v>3078</v>
      </c>
    </row>
    <row r="3119" spans="1:2" x14ac:dyDescent="0.3">
      <c r="A3119" s="7" t="str">
        <f>HYPERLINK("http://www.eatonpowersource.com/products/configure/industrial%20valves/details/02-414264","02-414264")</f>
        <v>02-414264</v>
      </c>
      <c r="B3119" s="8" t="s">
        <v>3079</v>
      </c>
    </row>
    <row r="3120" spans="1:2" x14ac:dyDescent="0.3">
      <c r="A3120" s="5" t="str">
        <f>HYPERLINK("http://www.eatonpowersource.com/products/configure/industrial%20valves/details/02-414876","02-414876")</f>
        <v>02-414876</v>
      </c>
      <c r="B3120" s="6" t="s">
        <v>3080</v>
      </c>
    </row>
    <row r="3121" spans="1:2" x14ac:dyDescent="0.3">
      <c r="A3121" s="7" t="str">
        <f>HYPERLINK("http://www.eatonpowersource.com/products/configure/industrial%20valves/details/02-414908","02-414908")</f>
        <v>02-414908</v>
      </c>
      <c r="B3121" s="8" t="s">
        <v>3081</v>
      </c>
    </row>
    <row r="3122" spans="1:2" x14ac:dyDescent="0.3">
      <c r="A3122" s="5" t="str">
        <f>HYPERLINK("http://www.eatonpowersource.com/products/configure/industrial%20valves/details/02-414982","02-414982")</f>
        <v>02-414982</v>
      </c>
      <c r="B3122" s="6" t="s">
        <v>3082</v>
      </c>
    </row>
    <row r="3123" spans="1:2" x14ac:dyDescent="0.3">
      <c r="A3123" s="7" t="str">
        <f>HYPERLINK("http://www.eatonpowersource.com/products/configure/industrial%20valves/details/460393","460393")</f>
        <v>460393</v>
      </c>
      <c r="B3123" s="8" t="s">
        <v>3083</v>
      </c>
    </row>
    <row r="3124" spans="1:2" x14ac:dyDescent="0.3">
      <c r="A3124" s="5" t="str">
        <f>HYPERLINK("http://www.eatonpowersource.com/products/configure/industrial%20valves/details/461408","461408")</f>
        <v>461408</v>
      </c>
      <c r="B3124" s="6" t="s">
        <v>3084</v>
      </c>
    </row>
    <row r="3125" spans="1:2" x14ac:dyDescent="0.3">
      <c r="A3125" s="7" t="str">
        <f>HYPERLINK("http://www.eatonpowersource.com/products/configure/industrial%20valves/details/462180","462180")</f>
        <v>462180</v>
      </c>
      <c r="B3125" s="8" t="s">
        <v>3085</v>
      </c>
    </row>
    <row r="3126" spans="1:2" x14ac:dyDescent="0.3">
      <c r="A3126" s="5" t="str">
        <f>HYPERLINK("http://www.eatonpowersource.com/products/configure/industrial%20valves/details/465020","465020")</f>
        <v>465020</v>
      </c>
      <c r="B3126" s="6" t="s">
        <v>3086</v>
      </c>
    </row>
    <row r="3127" spans="1:2" x14ac:dyDescent="0.3">
      <c r="A3127" s="7" t="str">
        <f>HYPERLINK("http://www.eatonpowersource.com/products/configure/industrial%20valves/details/465023","465023")</f>
        <v>465023</v>
      </c>
      <c r="B3127" s="8" t="s">
        <v>3087</v>
      </c>
    </row>
    <row r="3128" spans="1:2" x14ac:dyDescent="0.3">
      <c r="A3128" s="5" t="str">
        <f>HYPERLINK("http://www.eatonpowersource.com/products/configure/industrial%20valves/details/465024","465024")</f>
        <v>465024</v>
      </c>
      <c r="B3128" s="6" t="s">
        <v>3088</v>
      </c>
    </row>
    <row r="3129" spans="1:2" x14ac:dyDescent="0.3">
      <c r="A3129" s="7" t="str">
        <f>HYPERLINK("http://www.eatonpowersource.com/products/configure/industrial%20valves/details/465025","465025")</f>
        <v>465025</v>
      </c>
      <c r="B3129" s="8" t="s">
        <v>3089</v>
      </c>
    </row>
    <row r="3130" spans="1:2" x14ac:dyDescent="0.3">
      <c r="A3130" s="5" t="str">
        <f>HYPERLINK("http://www.eatonpowersource.com/products/configure/industrial%20valves/details/465938","465938")</f>
        <v>465938</v>
      </c>
      <c r="B3130" s="6" t="s">
        <v>3090</v>
      </c>
    </row>
    <row r="3131" spans="1:2" x14ac:dyDescent="0.3">
      <c r="A3131" s="7" t="str">
        <f>HYPERLINK("http://www.eatonpowersource.com/products/configure/industrial%20valves/details/465939","465939")</f>
        <v>465939</v>
      </c>
      <c r="B3131" s="8" t="s">
        <v>3091</v>
      </c>
    </row>
    <row r="3132" spans="1:2" x14ac:dyDescent="0.3">
      <c r="A3132" s="5" t="str">
        <f>HYPERLINK("http://www.eatonpowersource.com/products/configure/industrial%20valves/details/465940","465940")</f>
        <v>465940</v>
      </c>
      <c r="B3132" s="6" t="s">
        <v>3092</v>
      </c>
    </row>
    <row r="3133" spans="1:2" x14ac:dyDescent="0.3">
      <c r="A3133" s="7" t="str">
        <f>HYPERLINK("http://www.eatonpowersource.com/products/configure/industrial%20valves/details/465941","465941")</f>
        <v>465941</v>
      </c>
      <c r="B3133" s="8" t="s">
        <v>3093</v>
      </c>
    </row>
    <row r="3134" spans="1:2" x14ac:dyDescent="0.3">
      <c r="A3134" s="5" t="str">
        <f>HYPERLINK("http://www.eatonpowersource.com/products/configure/industrial%20valves/details/465942","465942")</f>
        <v>465942</v>
      </c>
      <c r="B3134" s="6" t="s">
        <v>3094</v>
      </c>
    </row>
    <row r="3135" spans="1:2" x14ac:dyDescent="0.3">
      <c r="A3135" s="7" t="str">
        <f>HYPERLINK("http://www.eatonpowersource.com/products/configure/industrial%20valves/details/465943","465943")</f>
        <v>465943</v>
      </c>
      <c r="B3135" s="8" t="s">
        <v>3095</v>
      </c>
    </row>
    <row r="3136" spans="1:2" x14ac:dyDescent="0.3">
      <c r="A3136" s="5" t="str">
        <f>HYPERLINK("http://www.eatonpowersource.com/products/configure/industrial%20valves/details/465944","465944")</f>
        <v>465944</v>
      </c>
      <c r="B3136" s="6" t="s">
        <v>3096</v>
      </c>
    </row>
    <row r="3137" spans="1:2" x14ac:dyDescent="0.3">
      <c r="A3137" s="7" t="str">
        <f>HYPERLINK("http://www.eatonpowersource.com/products/configure/industrial%20valves/details/465945","465945")</f>
        <v>465945</v>
      </c>
      <c r="B3137" s="8" t="s">
        <v>3097</v>
      </c>
    </row>
    <row r="3138" spans="1:2" x14ac:dyDescent="0.3">
      <c r="A3138" s="5" t="str">
        <f>HYPERLINK("http://www.eatonpowersource.com/products/configure/industrial%20valves/details/465946","465946")</f>
        <v>465946</v>
      </c>
      <c r="B3138" s="6" t="s">
        <v>3098</v>
      </c>
    </row>
    <row r="3139" spans="1:2" x14ac:dyDescent="0.3">
      <c r="A3139" s="7" t="str">
        <f>HYPERLINK("http://www.eatonpowersource.com/products/configure/industrial%20valves/details/465948","465948")</f>
        <v>465948</v>
      </c>
      <c r="B3139" s="8" t="s">
        <v>3099</v>
      </c>
    </row>
    <row r="3140" spans="1:2" x14ac:dyDescent="0.3">
      <c r="A3140" s="5" t="str">
        <f>HYPERLINK("http://www.eatonpowersource.com/products/configure/industrial%20valves/details/465949","465949")</f>
        <v>465949</v>
      </c>
      <c r="B3140" s="6" t="s">
        <v>3100</v>
      </c>
    </row>
    <row r="3141" spans="1:2" x14ac:dyDescent="0.3">
      <c r="A3141" s="7" t="str">
        <f>HYPERLINK("http://www.eatonpowersource.com/products/configure/industrial%20valves/details/465950","465950")</f>
        <v>465950</v>
      </c>
      <c r="B3141" s="8" t="s">
        <v>3101</v>
      </c>
    </row>
    <row r="3142" spans="1:2" x14ac:dyDescent="0.3">
      <c r="A3142" s="5" t="str">
        <f>HYPERLINK("http://www.eatonpowersource.com/products/configure/industrial%20valves/details/465951","465951")</f>
        <v>465951</v>
      </c>
      <c r="B3142" s="6" t="s">
        <v>3102</v>
      </c>
    </row>
    <row r="3143" spans="1:2" x14ac:dyDescent="0.3">
      <c r="A3143" s="7" t="str">
        <f>HYPERLINK("http://www.eatonpowersource.com/products/configure/industrial%20valves/details/465952","465952")</f>
        <v>465952</v>
      </c>
      <c r="B3143" s="8" t="s">
        <v>3103</v>
      </c>
    </row>
    <row r="3144" spans="1:2" x14ac:dyDescent="0.3">
      <c r="A3144" s="5" t="str">
        <f>HYPERLINK("http://www.eatonpowersource.com/products/configure/industrial%20valves/details/465953","465953")</f>
        <v>465953</v>
      </c>
      <c r="B3144" s="6" t="s">
        <v>3104</v>
      </c>
    </row>
    <row r="3145" spans="1:2" x14ac:dyDescent="0.3">
      <c r="A3145" s="7" t="str">
        <f>HYPERLINK("http://www.eatonpowersource.com/products/configure/industrial%20valves/details/465954","465954")</f>
        <v>465954</v>
      </c>
      <c r="B3145" s="8" t="s">
        <v>3105</v>
      </c>
    </row>
    <row r="3146" spans="1:2" x14ac:dyDescent="0.3">
      <c r="A3146" s="5" t="str">
        <f>HYPERLINK("http://www.eatonpowersource.com/products/configure/industrial%20valves/details/465955","465955")</f>
        <v>465955</v>
      </c>
      <c r="B3146" s="6" t="s">
        <v>3106</v>
      </c>
    </row>
    <row r="3147" spans="1:2" x14ac:dyDescent="0.3">
      <c r="A3147" s="7" t="str">
        <f>HYPERLINK("http://www.eatonpowersource.com/products/configure/industrial%20valves/details/465957","465957")</f>
        <v>465957</v>
      </c>
      <c r="B3147" s="8" t="s">
        <v>3107</v>
      </c>
    </row>
    <row r="3148" spans="1:2" x14ac:dyDescent="0.3">
      <c r="A3148" s="5" t="str">
        <f>HYPERLINK("http://www.eatonpowersource.com/products/configure/industrial%20valves/details/465958","465958")</f>
        <v>465958</v>
      </c>
      <c r="B3148" s="6" t="s">
        <v>3108</v>
      </c>
    </row>
    <row r="3149" spans="1:2" x14ac:dyDescent="0.3">
      <c r="A3149" s="7" t="str">
        <f>HYPERLINK("http://www.eatonpowersource.com/products/configure/industrial%20valves/details/465960","465960")</f>
        <v>465960</v>
      </c>
      <c r="B3149" s="8" t="s">
        <v>3109</v>
      </c>
    </row>
    <row r="3150" spans="1:2" x14ac:dyDescent="0.3">
      <c r="A3150" s="5" t="str">
        <f>HYPERLINK("http://www.eatonpowersource.com/products/configure/industrial%20valves/details/465961","465961")</f>
        <v>465961</v>
      </c>
      <c r="B3150" s="6" t="s">
        <v>3110</v>
      </c>
    </row>
    <row r="3151" spans="1:2" x14ac:dyDescent="0.3">
      <c r="A3151" s="7" t="str">
        <f>HYPERLINK("http://www.eatonpowersource.com/products/configure/industrial%20valves/details/466919","466919")</f>
        <v>466919</v>
      </c>
      <c r="B3151" s="8" t="s">
        <v>3111</v>
      </c>
    </row>
    <row r="3152" spans="1:2" x14ac:dyDescent="0.3">
      <c r="A3152" s="5" t="str">
        <f>HYPERLINK("http://www.eatonpowersource.com/products/configure/industrial%20valves/details/466921","466921")</f>
        <v>466921</v>
      </c>
      <c r="B3152" s="6" t="s">
        <v>3112</v>
      </c>
    </row>
    <row r="3153" spans="1:2" x14ac:dyDescent="0.3">
      <c r="A3153" s="7" t="str">
        <f>HYPERLINK("http://www.eatonpowersource.com/products/configure/industrial%20valves/details/466923","466923")</f>
        <v>466923</v>
      </c>
      <c r="B3153" s="8" t="s">
        <v>3113</v>
      </c>
    </row>
    <row r="3154" spans="1:2" x14ac:dyDescent="0.3">
      <c r="A3154" s="5" t="str">
        <f>HYPERLINK("http://www.eatonpowersource.com/products/configure/industrial%20valves/details/859570","859570")</f>
        <v>859570</v>
      </c>
      <c r="B3154" s="6" t="s">
        <v>3114</v>
      </c>
    </row>
    <row r="3155" spans="1:2" x14ac:dyDescent="0.3">
      <c r="A3155" s="7" t="str">
        <f>HYPERLINK("http://www.eatonpowersource.com/products/configure/industrial%20valves/details/859572","859572")</f>
        <v>859572</v>
      </c>
      <c r="B3155" s="8" t="s">
        <v>3115</v>
      </c>
    </row>
    <row r="3156" spans="1:2" x14ac:dyDescent="0.3">
      <c r="A3156" s="5" t="str">
        <f>HYPERLINK("http://www.eatonpowersource.com/products/configure/industrial%20valves/details/859573","859573")</f>
        <v>859573</v>
      </c>
      <c r="B3156" s="6" t="s">
        <v>3116</v>
      </c>
    </row>
    <row r="3157" spans="1:2" x14ac:dyDescent="0.3">
      <c r="A3157" s="7" t="str">
        <f>HYPERLINK("http://www.eatonpowersource.com/products/configure/industrial%20valves/details/859574","859574")</f>
        <v>859574</v>
      </c>
      <c r="B3157" s="8" t="s">
        <v>3117</v>
      </c>
    </row>
    <row r="3158" spans="1:2" x14ac:dyDescent="0.3">
      <c r="A3158" s="5" t="str">
        <f>HYPERLINK("http://www.eatonpowersource.com/products/configure/industrial%20valves/details/859576","859576")</f>
        <v>859576</v>
      </c>
      <c r="B3158" s="6" t="s">
        <v>3118</v>
      </c>
    </row>
    <row r="3159" spans="1:2" x14ac:dyDescent="0.3">
      <c r="A3159" s="7" t="str">
        <f>HYPERLINK("http://www.eatonpowersource.com/products/configure/industrial%20valves/details/859577","859577")</f>
        <v>859577</v>
      </c>
      <c r="B3159" s="8" t="s">
        <v>3119</v>
      </c>
    </row>
    <row r="3160" spans="1:2" x14ac:dyDescent="0.3">
      <c r="A3160" s="5" t="str">
        <f>HYPERLINK("http://www.eatonpowersource.com/products/configure/industrial%20valves/details/859578","859578")</f>
        <v>859578</v>
      </c>
      <c r="B3160" s="6" t="s">
        <v>3120</v>
      </c>
    </row>
    <row r="3161" spans="1:2" x14ac:dyDescent="0.3">
      <c r="A3161" s="7" t="str">
        <f>HYPERLINK("http://www.eatonpowersource.com/products/configure/industrial%20valves/details/859587","859587")</f>
        <v>859587</v>
      </c>
      <c r="B3161" s="8" t="s">
        <v>3121</v>
      </c>
    </row>
    <row r="3162" spans="1:2" x14ac:dyDescent="0.3">
      <c r="A3162" s="5" t="str">
        <f>HYPERLINK("http://www.eatonpowersource.com/products/configure/industrial%20valves/details/859588","859588")</f>
        <v>859588</v>
      </c>
      <c r="B3162" s="6" t="s">
        <v>3122</v>
      </c>
    </row>
    <row r="3163" spans="1:2" x14ac:dyDescent="0.3">
      <c r="A3163" s="7" t="str">
        <f>HYPERLINK("http://www.eatonpowersource.com/products/configure/industrial%20valves/details/859597","859597")</f>
        <v>859597</v>
      </c>
      <c r="B3163" s="8" t="s">
        <v>3123</v>
      </c>
    </row>
    <row r="3164" spans="1:2" x14ac:dyDescent="0.3">
      <c r="A3164" s="5" t="str">
        <f>HYPERLINK("http://www.eatonpowersource.com/products/configure/industrial%20valves/details/859606","859606")</f>
        <v>859606</v>
      </c>
      <c r="B3164" s="6" t="s">
        <v>3124</v>
      </c>
    </row>
    <row r="3165" spans="1:2" x14ac:dyDescent="0.3">
      <c r="A3165" s="7" t="str">
        <f>HYPERLINK("http://www.eatonpowersource.com/products/configure/industrial%20valves/details/859608","859608")</f>
        <v>859608</v>
      </c>
      <c r="B3165" s="8" t="s">
        <v>3125</v>
      </c>
    </row>
    <row r="3166" spans="1:2" x14ac:dyDescent="0.3">
      <c r="A3166" s="5" t="str">
        <f>HYPERLINK("http://www.eatonpowersource.com/products/configure/industrial%20valves/details/859609","859609")</f>
        <v>859609</v>
      </c>
      <c r="B3166" s="6" t="s">
        <v>3126</v>
      </c>
    </row>
    <row r="3167" spans="1:2" x14ac:dyDescent="0.3">
      <c r="A3167" s="7" t="str">
        <f>HYPERLINK("http://www.eatonpowersource.com/products/configure/industrial%20valves/details/859610","859610")</f>
        <v>859610</v>
      </c>
      <c r="B3167" s="8" t="s">
        <v>3127</v>
      </c>
    </row>
    <row r="3168" spans="1:2" x14ac:dyDescent="0.3">
      <c r="A3168" s="5" t="str">
        <f>HYPERLINK("http://www.eatonpowersource.com/products/configure/industrial%20valves/details/859612","859612")</f>
        <v>859612</v>
      </c>
      <c r="B3168" s="6" t="s">
        <v>3128</v>
      </c>
    </row>
    <row r="3169" spans="1:2" x14ac:dyDescent="0.3">
      <c r="A3169" s="7" t="str">
        <f>HYPERLINK("http://www.eatonpowersource.com/products/configure/industrial%20valves/details/859615","859615")</f>
        <v>859615</v>
      </c>
      <c r="B3169" s="8" t="s">
        <v>3129</v>
      </c>
    </row>
    <row r="3170" spans="1:2" x14ac:dyDescent="0.3">
      <c r="A3170" s="5" t="str">
        <f>HYPERLINK("http://www.eatonpowersource.com/products/configure/industrial%20valves/details/859616","859616")</f>
        <v>859616</v>
      </c>
      <c r="B3170" s="6" t="s">
        <v>3130</v>
      </c>
    </row>
    <row r="3171" spans="1:2" x14ac:dyDescent="0.3">
      <c r="A3171" s="7" t="str">
        <f>HYPERLINK("http://www.eatonpowersource.com/products/configure/industrial%20valves/details/870086","870086")</f>
        <v>870086</v>
      </c>
      <c r="B3171" s="8" t="s">
        <v>3131</v>
      </c>
    </row>
    <row r="3172" spans="1:2" x14ac:dyDescent="0.3">
      <c r="A3172" s="5" t="str">
        <f>HYPERLINK("http://www.eatonpowersource.com/products/configure/industrial%20valves/details/870649","870649")</f>
        <v>870649</v>
      </c>
      <c r="B3172" s="6" t="s">
        <v>3132</v>
      </c>
    </row>
    <row r="3173" spans="1:2" x14ac:dyDescent="0.3">
      <c r="A3173" s="7" t="str">
        <f>HYPERLINK("http://www.eatonpowersource.com/products/configure/industrial%20valves/details/871054","871054")</f>
        <v>871054</v>
      </c>
      <c r="B3173" s="8" t="s">
        <v>3133</v>
      </c>
    </row>
    <row r="3174" spans="1:2" x14ac:dyDescent="0.3">
      <c r="A3174" s="5" t="str">
        <f>HYPERLINK("http://www.eatonpowersource.com/products/configure/industrial%20valves/details/871515","871515")</f>
        <v>871515</v>
      </c>
      <c r="B3174" s="6" t="s">
        <v>3134</v>
      </c>
    </row>
    <row r="3175" spans="1:2" x14ac:dyDescent="0.3">
      <c r="A3175" s="7" t="str">
        <f>HYPERLINK("http://www.eatonpowersource.com/products/configure/industrial%20valves/details/871745","871745")</f>
        <v>871745</v>
      </c>
      <c r="B3175" s="8" t="s">
        <v>3135</v>
      </c>
    </row>
    <row r="3176" spans="1:2" x14ac:dyDescent="0.3">
      <c r="A3176" s="5" t="str">
        <f>HYPERLINK("http://www.eatonpowersource.com/products/configure/industrial%20valves/details/871962","871962")</f>
        <v>871962</v>
      </c>
      <c r="B3176" s="6" t="s">
        <v>3136</v>
      </c>
    </row>
    <row r="3177" spans="1:2" x14ac:dyDescent="0.3">
      <c r="A3177" s="7" t="str">
        <f>HYPERLINK("http://www.eatonpowersource.com/products/configure/industrial%20valves/details/872177","872177")</f>
        <v>872177</v>
      </c>
      <c r="B3177" s="8" t="s">
        <v>3137</v>
      </c>
    </row>
    <row r="3178" spans="1:2" x14ac:dyDescent="0.3">
      <c r="A3178" s="5" t="str">
        <f>HYPERLINK("http://www.eatonpowersource.com/products/configure/industrial%20valves/details/978159","978159")</f>
        <v>978159</v>
      </c>
      <c r="B3178" s="6" t="s">
        <v>3138</v>
      </c>
    </row>
    <row r="3179" spans="1:2" x14ac:dyDescent="0.3">
      <c r="A3179" s="7" t="str">
        <f>HYPERLINK("http://www.eatonpowersource.com/products/configure/industrial%20valves/details/991788","991788")</f>
        <v>991788</v>
      </c>
      <c r="B3179" s="8" t="s">
        <v>3139</v>
      </c>
    </row>
    <row r="3180" spans="1:2" x14ac:dyDescent="0.3">
      <c r="A3180" s="5" t="str">
        <f>HYPERLINK("http://www.eatonpowersource.com/products/configure/industrial%20valves/details/992603","992603")</f>
        <v>992603</v>
      </c>
      <c r="B3180" s="6" t="s">
        <v>3140</v>
      </c>
    </row>
    <row r="3181" spans="1:2" x14ac:dyDescent="0.3">
      <c r="A3181" s="7" t="str">
        <f>HYPERLINK("http://www.eatonpowersource.com/products/configure/industrial%20valves/details/992604","992604")</f>
        <v>992604</v>
      </c>
      <c r="B3181" s="8" t="s">
        <v>3141</v>
      </c>
    </row>
    <row r="3182" spans="1:2" x14ac:dyDescent="0.3">
      <c r="A3182" s="5" t="str">
        <f>HYPERLINK("http://www.eatonpowersource.com/products/configure/industrial%20valves/details/02-353567","02-353567")</f>
        <v>02-353567</v>
      </c>
      <c r="B3182" s="6" t="s">
        <v>3142</v>
      </c>
    </row>
    <row r="3183" spans="1:2" x14ac:dyDescent="0.3">
      <c r="A3183" s="7" t="str">
        <f>HYPERLINK("http://www.eatonpowersource.com/products/configure/industrial%20valves/details/460027","460027")</f>
        <v>460027</v>
      </c>
      <c r="B3183" s="8" t="s">
        <v>3143</v>
      </c>
    </row>
    <row r="3184" spans="1:2" x14ac:dyDescent="0.3">
      <c r="A3184" s="5" t="str">
        <f>HYPERLINK("http://www.eatonpowersource.com/products/configure/industrial%20valves/details/465507","465507")</f>
        <v>465507</v>
      </c>
      <c r="B3184" s="6" t="s">
        <v>3144</v>
      </c>
    </row>
    <row r="3185" spans="1:2" x14ac:dyDescent="0.3">
      <c r="A3185" s="7" t="str">
        <f>HYPERLINK("http://www.eatonpowersource.com/products/configure/industrial%20valves/details/465508","465508")</f>
        <v>465508</v>
      </c>
      <c r="B3185" s="8" t="s">
        <v>3145</v>
      </c>
    </row>
    <row r="3186" spans="1:2" x14ac:dyDescent="0.3">
      <c r="A3186" s="5" t="str">
        <f>HYPERLINK("http://www.eatonpowersource.com/products/configure/industrial%20valves/details/465509","465509")</f>
        <v>465509</v>
      </c>
      <c r="B3186" s="6" t="s">
        <v>3146</v>
      </c>
    </row>
    <row r="3187" spans="1:2" x14ac:dyDescent="0.3">
      <c r="A3187" s="7" t="str">
        <f>HYPERLINK("http://www.eatonpowersource.com/products/configure/industrial%20valves/details/465510","465510")</f>
        <v>465510</v>
      </c>
      <c r="B3187" s="8" t="s">
        <v>3147</v>
      </c>
    </row>
    <row r="3188" spans="1:2" x14ac:dyDescent="0.3">
      <c r="A3188" s="5" t="str">
        <f>HYPERLINK("http://www.eatonpowersource.com/products/configure/industrial%20valves/details/465511","465511")</f>
        <v>465511</v>
      </c>
      <c r="B3188" s="6" t="s">
        <v>3148</v>
      </c>
    </row>
    <row r="3189" spans="1:2" x14ac:dyDescent="0.3">
      <c r="A3189" s="7" t="str">
        <f>HYPERLINK("http://www.eatonpowersource.com/products/configure/industrial%20valves/details/465512","465512")</f>
        <v>465512</v>
      </c>
      <c r="B3189" s="8" t="s">
        <v>3149</v>
      </c>
    </row>
    <row r="3190" spans="1:2" x14ac:dyDescent="0.3">
      <c r="A3190" s="5" t="str">
        <f>HYPERLINK("http://www.eatonpowersource.com/products/configure/industrial%20valves/details/465514","465514")</f>
        <v>465514</v>
      </c>
      <c r="B3190" s="6" t="s">
        <v>3150</v>
      </c>
    </row>
    <row r="3191" spans="1:2" x14ac:dyDescent="0.3">
      <c r="A3191" s="7" t="str">
        <f>HYPERLINK("http://www.eatonpowersource.com/products/configure/industrial%20valves/details/465516","465516")</f>
        <v>465516</v>
      </c>
      <c r="B3191" s="8" t="s">
        <v>3151</v>
      </c>
    </row>
    <row r="3192" spans="1:2" x14ac:dyDescent="0.3">
      <c r="A3192" s="5" t="str">
        <f>HYPERLINK("http://www.eatonpowersource.com/products/configure/industrial%20valves/details/465517","465517")</f>
        <v>465517</v>
      </c>
      <c r="B3192" s="6" t="s">
        <v>3152</v>
      </c>
    </row>
    <row r="3193" spans="1:2" x14ac:dyDescent="0.3">
      <c r="A3193" s="7" t="str">
        <f>HYPERLINK("http://www.eatonpowersource.com/products/configure/industrial%20valves/details/465518","465518")</f>
        <v>465518</v>
      </c>
      <c r="B3193" s="8" t="s">
        <v>3153</v>
      </c>
    </row>
    <row r="3194" spans="1:2" x14ac:dyDescent="0.3">
      <c r="A3194" s="5" t="str">
        <f>HYPERLINK("http://www.eatonpowersource.com/products/configure/industrial%20valves/details/465519","465519")</f>
        <v>465519</v>
      </c>
      <c r="B3194" s="6" t="s">
        <v>3154</v>
      </c>
    </row>
    <row r="3195" spans="1:2" x14ac:dyDescent="0.3">
      <c r="A3195" s="7" t="str">
        <f>HYPERLINK("http://www.eatonpowersource.com/products/configure/industrial%20valves/details/507130","507130")</f>
        <v>507130</v>
      </c>
      <c r="B3195" s="8" t="s">
        <v>3155</v>
      </c>
    </row>
    <row r="3196" spans="1:2" x14ac:dyDescent="0.3">
      <c r="A3196" s="5" t="str">
        <f>HYPERLINK("http://www.eatonpowersource.com/products/configure/industrial%20valves/details/507656","507656")</f>
        <v>507656</v>
      </c>
      <c r="B3196" s="6" t="s">
        <v>3156</v>
      </c>
    </row>
    <row r="3197" spans="1:2" x14ac:dyDescent="0.3">
      <c r="A3197" s="7" t="str">
        <f>HYPERLINK("http://www.eatonpowersource.com/products/configure/industrial%20valves/details/507657","507657")</f>
        <v>507657</v>
      </c>
      <c r="B3197" s="8" t="s">
        <v>3157</v>
      </c>
    </row>
    <row r="3198" spans="1:2" x14ac:dyDescent="0.3">
      <c r="A3198" s="5" t="str">
        <f>HYPERLINK("http://www.eatonpowersource.com/products/configure/industrial%20valves/details/615023","615023")</f>
        <v>615023</v>
      </c>
      <c r="B3198" s="6" t="s">
        <v>3158</v>
      </c>
    </row>
    <row r="3199" spans="1:2" x14ac:dyDescent="0.3">
      <c r="A3199" s="7" t="str">
        <f>HYPERLINK("http://www.eatonpowersource.com/products/configure/industrial%20valves/details/615024","615024")</f>
        <v>615024</v>
      </c>
      <c r="B3199" s="8" t="s">
        <v>3159</v>
      </c>
    </row>
    <row r="3200" spans="1:2" x14ac:dyDescent="0.3">
      <c r="A3200" s="5" t="str">
        <f>HYPERLINK("http://www.eatonpowersource.com/products/configure/industrial%20valves/details/615025","615025")</f>
        <v>615025</v>
      </c>
      <c r="B3200" s="6" t="s">
        <v>3160</v>
      </c>
    </row>
    <row r="3201" spans="1:2" x14ac:dyDescent="0.3">
      <c r="A3201" s="7" t="str">
        <f>HYPERLINK("http://www.eatonpowersource.com/products/configure/industrial%20valves/details/615026","615026")</f>
        <v>615026</v>
      </c>
      <c r="B3201" s="8" t="s">
        <v>3161</v>
      </c>
    </row>
    <row r="3202" spans="1:2" x14ac:dyDescent="0.3">
      <c r="A3202" s="5" t="str">
        <f>HYPERLINK("http://www.eatonpowersource.com/products/configure/industrial%20valves/details/615027","615027")</f>
        <v>615027</v>
      </c>
      <c r="B3202" s="6" t="s">
        <v>3162</v>
      </c>
    </row>
    <row r="3203" spans="1:2" x14ac:dyDescent="0.3">
      <c r="A3203" s="7" t="str">
        <f>HYPERLINK("http://www.eatonpowersource.com/products/configure/industrial%20valves/details/615028","615028")</f>
        <v>615028</v>
      </c>
      <c r="B3203" s="8" t="s">
        <v>3163</v>
      </c>
    </row>
    <row r="3204" spans="1:2" x14ac:dyDescent="0.3">
      <c r="A3204" s="5" t="str">
        <f>HYPERLINK("http://www.eatonpowersource.com/products/configure/industrial%20valves/details/615029","615029")</f>
        <v>615029</v>
      </c>
      <c r="B3204" s="6" t="s">
        <v>3164</v>
      </c>
    </row>
    <row r="3205" spans="1:2" x14ac:dyDescent="0.3">
      <c r="A3205" s="7" t="str">
        <f>HYPERLINK("http://www.eatonpowersource.com/products/configure/industrial%20valves/details/615030","615030")</f>
        <v>615030</v>
      </c>
      <c r="B3205" s="8" t="s">
        <v>3165</v>
      </c>
    </row>
    <row r="3206" spans="1:2" x14ac:dyDescent="0.3">
      <c r="A3206" s="5" t="str">
        <f>HYPERLINK("http://www.eatonpowersource.com/products/configure/industrial%20valves/details/615788","615788")</f>
        <v>615788</v>
      </c>
      <c r="B3206" s="6" t="s">
        <v>3166</v>
      </c>
    </row>
    <row r="3207" spans="1:2" x14ac:dyDescent="0.3">
      <c r="A3207" s="7" t="str">
        <f>HYPERLINK("http://www.eatonpowersource.com/products/configure/industrial%20valves/details/615789","615789")</f>
        <v>615789</v>
      </c>
      <c r="B3207" s="8" t="s">
        <v>3167</v>
      </c>
    </row>
    <row r="3208" spans="1:2" x14ac:dyDescent="0.3">
      <c r="A3208" s="5" t="str">
        <f>HYPERLINK("http://www.eatonpowersource.com/products/configure/industrial%20valves/details/615790","615790")</f>
        <v>615790</v>
      </c>
      <c r="B3208" s="6" t="s">
        <v>3168</v>
      </c>
    </row>
    <row r="3209" spans="1:2" x14ac:dyDescent="0.3">
      <c r="A3209" s="7" t="str">
        <f>HYPERLINK("http://www.eatonpowersource.com/products/configure/industrial%20valves/details/615791","615791")</f>
        <v>615791</v>
      </c>
      <c r="B3209" s="8" t="s">
        <v>3169</v>
      </c>
    </row>
    <row r="3210" spans="1:2" x14ac:dyDescent="0.3">
      <c r="A3210" s="5" t="str">
        <f>HYPERLINK("http://www.eatonpowersource.com/products/configure/industrial%20valves/details/615792","615792")</f>
        <v>615792</v>
      </c>
      <c r="B3210" s="6" t="s">
        <v>3170</v>
      </c>
    </row>
    <row r="3211" spans="1:2" x14ac:dyDescent="0.3">
      <c r="A3211" s="7" t="str">
        <f>HYPERLINK("http://www.eatonpowersource.com/products/configure/industrial%20valves/details/615793","615793")</f>
        <v>615793</v>
      </c>
      <c r="B3211" s="8" t="s">
        <v>3171</v>
      </c>
    </row>
    <row r="3212" spans="1:2" x14ac:dyDescent="0.3">
      <c r="A3212" s="5" t="str">
        <f>HYPERLINK("http://www.eatonpowersource.com/products/configure/industrial%20valves/details/615794","615794")</f>
        <v>615794</v>
      </c>
      <c r="B3212" s="6" t="s">
        <v>3172</v>
      </c>
    </row>
    <row r="3213" spans="1:2" x14ac:dyDescent="0.3">
      <c r="A3213" s="7" t="str">
        <f>HYPERLINK("http://www.eatonpowersource.com/products/configure/industrial%20valves/details/615795","615795")</f>
        <v>615795</v>
      </c>
      <c r="B3213" s="8" t="s">
        <v>3173</v>
      </c>
    </row>
    <row r="3214" spans="1:2" x14ac:dyDescent="0.3">
      <c r="A3214" s="5" t="str">
        <f>HYPERLINK("http://www.eatonpowersource.com/products/configure/industrial%20valves/details/639111","639111")</f>
        <v>639111</v>
      </c>
      <c r="B3214" s="6" t="s">
        <v>3174</v>
      </c>
    </row>
    <row r="3215" spans="1:2" x14ac:dyDescent="0.3">
      <c r="A3215" s="7" t="str">
        <f>HYPERLINK("http://www.eatonpowersource.com/products/configure/industrial%20valves/details/639645","639645")</f>
        <v>639645</v>
      </c>
      <c r="B3215" s="8" t="s">
        <v>3175</v>
      </c>
    </row>
    <row r="3216" spans="1:2" x14ac:dyDescent="0.3">
      <c r="A3216" s="5" t="str">
        <f>HYPERLINK("http://www.eatonpowersource.com/products/configure/industrial%20valves/details/710014","710014")</f>
        <v>710014</v>
      </c>
      <c r="B3216" s="6" t="s">
        <v>3176</v>
      </c>
    </row>
    <row r="3217" spans="1:2" x14ac:dyDescent="0.3">
      <c r="A3217" s="7" t="str">
        <f>HYPERLINK("http://www.eatonpowersource.com/products/configure/industrial%20valves/details/719719","719719")</f>
        <v>719719</v>
      </c>
      <c r="B3217" s="8" t="s">
        <v>3177</v>
      </c>
    </row>
    <row r="3218" spans="1:2" x14ac:dyDescent="0.3">
      <c r="A3218" s="5" t="str">
        <f>HYPERLINK("http://www.eatonpowersource.com/products/configure/industrial%20valves/details/719916","719916")</f>
        <v>719916</v>
      </c>
      <c r="B3218" s="6" t="s">
        <v>3178</v>
      </c>
    </row>
    <row r="3219" spans="1:2" x14ac:dyDescent="0.3">
      <c r="A3219" s="7" t="str">
        <f>HYPERLINK("http://www.eatonpowersource.com/products/configure/industrial%20valves/details/720416","720416")</f>
        <v>720416</v>
      </c>
      <c r="B3219" s="8" t="s">
        <v>3179</v>
      </c>
    </row>
    <row r="3220" spans="1:2" x14ac:dyDescent="0.3">
      <c r="A3220" s="5" t="str">
        <f>HYPERLINK("http://www.eatonpowersource.com/products/configure/industrial%20valves/details/720507","720507")</f>
        <v>720507</v>
      </c>
      <c r="B3220" s="6" t="s">
        <v>3180</v>
      </c>
    </row>
    <row r="3221" spans="1:2" x14ac:dyDescent="0.3">
      <c r="A3221" s="7" t="str">
        <f>HYPERLINK("http://www.eatonpowersource.com/products/configure/industrial%20valves/details/991745","991745")</f>
        <v>991745</v>
      </c>
      <c r="B3221" s="8" t="s">
        <v>3181</v>
      </c>
    </row>
    <row r="3222" spans="1:2" x14ac:dyDescent="0.3">
      <c r="A3222" s="5" t="str">
        <f>HYPERLINK("http://www.eatonpowersource.com/products/configure/industrial%20valves/details/991804","991804")</f>
        <v>991804</v>
      </c>
      <c r="B3222" s="6" t="s">
        <v>3182</v>
      </c>
    </row>
    <row r="3223" spans="1:2" x14ac:dyDescent="0.3">
      <c r="A3223" s="7" t="str">
        <f>HYPERLINK("http://www.eatonpowersource.com/products/configure/industrial%20valves/details/991942","991942")</f>
        <v>991942</v>
      </c>
      <c r="B3223" s="8" t="s">
        <v>3183</v>
      </c>
    </row>
    <row r="3224" spans="1:2" x14ac:dyDescent="0.3">
      <c r="A3224" s="5" t="str">
        <f>HYPERLINK("http://www.eatonpowersource.com/products/configure/industrial%20valves/details/992265","992265")</f>
        <v>992265</v>
      </c>
      <c r="B3224" s="6" t="s">
        <v>3184</v>
      </c>
    </row>
    <row r="3225" spans="1:2" x14ac:dyDescent="0.3">
      <c r="A3225" s="7" t="str">
        <f>HYPERLINK("http://www.eatonpowersource.com/products/configure/industrial%20valves/details/992266","992266")</f>
        <v>992266</v>
      </c>
      <c r="B3225" s="8" t="s">
        <v>3185</v>
      </c>
    </row>
    <row r="3226" spans="1:2" x14ac:dyDescent="0.3">
      <c r="A3226" s="5" t="str">
        <f>HYPERLINK("http://www.eatonpowersource.com/products/configure/industrial%20valves/details/992267","992267")</f>
        <v>992267</v>
      </c>
      <c r="B3226" s="6" t="s">
        <v>3186</v>
      </c>
    </row>
    <row r="3227" spans="1:2" x14ac:dyDescent="0.3">
      <c r="A3227" s="7" t="str">
        <f>HYPERLINK("http://www.eatonpowersource.com/products/configure/industrial%20valves/details/992268","992268")</f>
        <v>992268</v>
      </c>
      <c r="B3227" s="8" t="s">
        <v>3187</v>
      </c>
    </row>
    <row r="3228" spans="1:2" x14ac:dyDescent="0.3">
      <c r="A3228" s="5" t="str">
        <f>HYPERLINK("http://www.eatonpowersource.com/products/configure/industrial%20valves/details/02-155995","02-155995")</f>
        <v>02-155995</v>
      </c>
      <c r="B3228" s="6" t="s">
        <v>3188</v>
      </c>
    </row>
    <row r="3229" spans="1:2" x14ac:dyDescent="0.3">
      <c r="A3229" s="7" t="str">
        <f>HYPERLINK("http://www.eatonpowersource.com/products/configure/industrial%20valves/details/02-155996","02-155996")</f>
        <v>02-155996</v>
      </c>
      <c r="B3229" s="8" t="s">
        <v>3189</v>
      </c>
    </row>
    <row r="3230" spans="1:2" x14ac:dyDescent="0.3">
      <c r="A3230" s="5" t="str">
        <f>HYPERLINK("http://www.eatonpowersource.com/products/configure/industrial%20valves/details/02-155997","02-155997")</f>
        <v>02-155997</v>
      </c>
      <c r="B3230" s="6" t="s">
        <v>3190</v>
      </c>
    </row>
    <row r="3231" spans="1:2" x14ac:dyDescent="0.3">
      <c r="A3231" s="7" t="str">
        <f>HYPERLINK("http://www.eatonpowersource.com/products/configure/industrial%20valves/details/02-156000","02-156000")</f>
        <v>02-156000</v>
      </c>
      <c r="B3231" s="8" t="s">
        <v>3191</v>
      </c>
    </row>
    <row r="3232" spans="1:2" x14ac:dyDescent="0.3">
      <c r="A3232" s="5" t="str">
        <f>HYPERLINK("http://www.eatonpowersource.com/products/configure/industrial%20valves/details/02-156001","02-156001")</f>
        <v>02-156001</v>
      </c>
      <c r="B3232" s="6" t="s">
        <v>3192</v>
      </c>
    </row>
    <row r="3233" spans="1:2" x14ac:dyDescent="0.3">
      <c r="A3233" s="7" t="str">
        <f>HYPERLINK("http://www.eatonpowersource.com/products/configure/industrial%20valves/details/02-156002","02-156002")</f>
        <v>02-156002</v>
      </c>
      <c r="B3233" s="8" t="s">
        <v>3193</v>
      </c>
    </row>
    <row r="3234" spans="1:2" x14ac:dyDescent="0.3">
      <c r="A3234" s="5" t="str">
        <f>HYPERLINK("http://www.eatonpowersource.com/products/configure/industrial%20valves/details/02-156003","02-156003")</f>
        <v>02-156003</v>
      </c>
      <c r="B3234" s="6" t="s">
        <v>3194</v>
      </c>
    </row>
    <row r="3235" spans="1:2" x14ac:dyDescent="0.3">
      <c r="A3235" s="7" t="str">
        <f>HYPERLINK("http://www.eatonpowersource.com/products/configure/industrial%20valves/details/02-156014","02-156014")</f>
        <v>02-156014</v>
      </c>
      <c r="B3235" s="8" t="s">
        <v>3195</v>
      </c>
    </row>
    <row r="3236" spans="1:2" x14ac:dyDescent="0.3">
      <c r="A3236" s="5" t="str">
        <f>HYPERLINK("http://www.eatonpowersource.com/products/configure/industrial%20valves/details/02-156019","02-156019")</f>
        <v>02-156019</v>
      </c>
      <c r="B3236" s="6" t="s">
        <v>3196</v>
      </c>
    </row>
    <row r="3237" spans="1:2" x14ac:dyDescent="0.3">
      <c r="A3237" s="7" t="str">
        <f>HYPERLINK("http://www.eatonpowersource.com/products/configure/industrial%20valves/details/02-156020","02-156020")</f>
        <v>02-156020</v>
      </c>
      <c r="B3237" s="8" t="s">
        <v>3197</v>
      </c>
    </row>
    <row r="3238" spans="1:2" x14ac:dyDescent="0.3">
      <c r="A3238" s="5" t="str">
        <f>HYPERLINK("http://www.eatonpowersource.com/products/configure/industrial%20valves/details/02-157652","02-157652")</f>
        <v>02-157652</v>
      </c>
      <c r="B3238" s="6" t="s">
        <v>3198</v>
      </c>
    </row>
    <row r="3239" spans="1:2" x14ac:dyDescent="0.3">
      <c r="A3239" s="7" t="str">
        <f>HYPERLINK("http://www.eatonpowersource.com/products/configure/industrial%20valves/details/02-311478","02-311478")</f>
        <v>02-311478</v>
      </c>
      <c r="B3239" s="8" t="s">
        <v>3199</v>
      </c>
    </row>
    <row r="3240" spans="1:2" x14ac:dyDescent="0.3">
      <c r="A3240" s="5" t="str">
        <f>HYPERLINK("http://www.eatonpowersource.com/products/configure/industrial%20valves/details/02-311485","02-311485")</f>
        <v>02-311485</v>
      </c>
      <c r="B3240" s="6" t="s">
        <v>3200</v>
      </c>
    </row>
    <row r="3241" spans="1:2" x14ac:dyDescent="0.3">
      <c r="A3241" s="7" t="str">
        <f>HYPERLINK("http://www.eatonpowersource.com/products/configure/industrial%20valves/details/02-311673","02-311673")</f>
        <v>02-311673</v>
      </c>
      <c r="B3241" s="8" t="s">
        <v>3201</v>
      </c>
    </row>
    <row r="3242" spans="1:2" x14ac:dyDescent="0.3">
      <c r="A3242" s="5" t="str">
        <f>HYPERLINK("http://www.eatonpowersource.com/products/configure/industrial%20valves/details/02-311770","02-311770")</f>
        <v>02-311770</v>
      </c>
      <c r="B3242" s="6" t="s">
        <v>3202</v>
      </c>
    </row>
    <row r="3243" spans="1:2" x14ac:dyDescent="0.3">
      <c r="A3243" s="7" t="str">
        <f>HYPERLINK("http://www.eatonpowersource.com/products/configure/industrial%20valves/details/02-323841","02-323841")</f>
        <v>02-323841</v>
      </c>
      <c r="B3243" s="8" t="s">
        <v>3203</v>
      </c>
    </row>
    <row r="3244" spans="1:2" x14ac:dyDescent="0.3">
      <c r="A3244" s="5" t="str">
        <f>HYPERLINK("http://www.eatonpowersource.com/products/configure/industrial%20valves/details/02-332634","02-332634")</f>
        <v>02-332634</v>
      </c>
      <c r="B3244" s="6" t="s">
        <v>3204</v>
      </c>
    </row>
    <row r="3245" spans="1:2" x14ac:dyDescent="0.3">
      <c r="A3245" s="7" t="str">
        <f>HYPERLINK("http://www.eatonpowersource.com/products/configure/industrial%20valves/details/02-350237","02-350237")</f>
        <v>02-350237</v>
      </c>
      <c r="B3245" s="8" t="s">
        <v>3205</v>
      </c>
    </row>
    <row r="3246" spans="1:2" x14ac:dyDescent="0.3">
      <c r="A3246" s="5" t="str">
        <f>HYPERLINK("http://www.eatonpowersource.com/products/configure/industrial%20valves/details/02-351292","02-351292")</f>
        <v>02-351292</v>
      </c>
      <c r="B3246" s="6" t="s">
        <v>3206</v>
      </c>
    </row>
    <row r="3247" spans="1:2" x14ac:dyDescent="0.3">
      <c r="A3247" s="7" t="str">
        <f>HYPERLINK("http://www.eatonpowersource.com/products/configure/industrial%20valves/details/02-352500","02-352500")</f>
        <v>02-352500</v>
      </c>
      <c r="B3247" s="8" t="s">
        <v>3207</v>
      </c>
    </row>
    <row r="3248" spans="1:2" x14ac:dyDescent="0.3">
      <c r="A3248" s="5" t="str">
        <f>HYPERLINK("http://www.eatonpowersource.com/products/configure/industrial%20valves/details/02-352501","02-352501")</f>
        <v>02-352501</v>
      </c>
      <c r="B3248" s="6" t="s">
        <v>3208</v>
      </c>
    </row>
    <row r="3249" spans="1:2" x14ac:dyDescent="0.3">
      <c r="A3249" s="7" t="str">
        <f>HYPERLINK("http://www.eatonpowersource.com/products/configure/industrial%20valves/details/02-352502","02-352502")</f>
        <v>02-352502</v>
      </c>
      <c r="B3249" s="8" t="s">
        <v>3209</v>
      </c>
    </row>
    <row r="3250" spans="1:2" x14ac:dyDescent="0.3">
      <c r="A3250" s="5" t="str">
        <f>HYPERLINK("http://www.eatonpowersource.com/products/configure/industrial%20valves/details/02-352507","02-352507")</f>
        <v>02-352507</v>
      </c>
      <c r="B3250" s="6" t="s">
        <v>3210</v>
      </c>
    </row>
    <row r="3251" spans="1:2" x14ac:dyDescent="0.3">
      <c r="A3251" s="7" t="str">
        <f>HYPERLINK("http://www.eatonpowersource.com/products/configure/industrial%20valves/details/02-352508","02-352508")</f>
        <v>02-352508</v>
      </c>
      <c r="B3251" s="8" t="s">
        <v>3211</v>
      </c>
    </row>
    <row r="3252" spans="1:2" x14ac:dyDescent="0.3">
      <c r="A3252" s="5" t="str">
        <f>HYPERLINK("http://www.eatonpowersource.com/products/configure/industrial%20valves/details/02-352512","02-352512")</f>
        <v>02-352512</v>
      </c>
      <c r="B3252" s="6" t="s">
        <v>3212</v>
      </c>
    </row>
    <row r="3253" spans="1:2" x14ac:dyDescent="0.3">
      <c r="A3253" s="7" t="str">
        <f>HYPERLINK("http://www.eatonpowersource.com/products/configure/industrial%20valves/details/02-352965","02-352965")</f>
        <v>02-352965</v>
      </c>
      <c r="B3253" s="8" t="s">
        <v>3213</v>
      </c>
    </row>
    <row r="3254" spans="1:2" x14ac:dyDescent="0.3">
      <c r="A3254" s="5" t="str">
        <f>HYPERLINK("http://www.eatonpowersource.com/products/configure/industrial%20valves/details/02-353115","02-353115")</f>
        <v>02-353115</v>
      </c>
      <c r="B3254" s="6" t="s">
        <v>3214</v>
      </c>
    </row>
    <row r="3255" spans="1:2" x14ac:dyDescent="0.3">
      <c r="A3255" s="7" t="str">
        <f>HYPERLINK("http://www.eatonpowersource.com/products/configure/industrial%20valves/details/02-353210","02-353210")</f>
        <v>02-353210</v>
      </c>
      <c r="B3255" s="8" t="s">
        <v>3215</v>
      </c>
    </row>
    <row r="3256" spans="1:2" x14ac:dyDescent="0.3">
      <c r="A3256" s="5" t="str">
        <f>HYPERLINK("http://www.eatonpowersource.com/products/configure/industrial%20valves/details/02-353417","02-353417")</f>
        <v>02-353417</v>
      </c>
      <c r="B3256" s="6" t="s">
        <v>3216</v>
      </c>
    </row>
    <row r="3257" spans="1:2" x14ac:dyDescent="0.3">
      <c r="A3257" s="7" t="str">
        <f>HYPERLINK("http://www.eatonpowersource.com/products/configure/industrial%20valves/details/02-353545","02-353545")</f>
        <v>02-353545</v>
      </c>
      <c r="B3257" s="8" t="s">
        <v>3217</v>
      </c>
    </row>
    <row r="3258" spans="1:2" x14ac:dyDescent="0.3">
      <c r="A3258" s="5" t="str">
        <f>HYPERLINK("http://www.eatonpowersource.com/products/configure/industrial%20valves/details/02-353565","02-353565")</f>
        <v>02-353565</v>
      </c>
      <c r="B3258" s="6" t="s">
        <v>3218</v>
      </c>
    </row>
    <row r="3259" spans="1:2" x14ac:dyDescent="0.3">
      <c r="A3259" s="7" t="str">
        <f>HYPERLINK("http://www.eatonpowersource.com/products/configure/industrial%20valves/details/02-353617","02-353617")</f>
        <v>02-353617</v>
      </c>
      <c r="B3259" s="8" t="s">
        <v>3219</v>
      </c>
    </row>
    <row r="3260" spans="1:2" x14ac:dyDescent="0.3">
      <c r="A3260" s="5" t="str">
        <f>HYPERLINK("http://www.eatonpowersource.com/products/configure/industrial%20valves/details/02-353712","02-353712")</f>
        <v>02-353712</v>
      </c>
      <c r="B3260" s="6" t="s">
        <v>3220</v>
      </c>
    </row>
    <row r="3261" spans="1:2" x14ac:dyDescent="0.3">
      <c r="A3261" s="7" t="str">
        <f>HYPERLINK("http://www.eatonpowersource.com/products/configure/industrial%20valves/details/02-359448","02-359448")</f>
        <v>02-359448</v>
      </c>
      <c r="B3261" s="8" t="s">
        <v>3221</v>
      </c>
    </row>
    <row r="3262" spans="1:2" x14ac:dyDescent="0.3">
      <c r="A3262" s="5" t="str">
        <f>HYPERLINK("http://www.eatonpowersource.com/products/configure/industrial%20valves/details/02-411306","02-411306")</f>
        <v>02-411306</v>
      </c>
      <c r="B3262" s="6" t="s">
        <v>3222</v>
      </c>
    </row>
    <row r="3263" spans="1:2" x14ac:dyDescent="0.3">
      <c r="A3263" s="7" t="str">
        <f>HYPERLINK("http://www.eatonpowersource.com/products/configure/industrial%20valves/details/02-411556","02-411556")</f>
        <v>02-411556</v>
      </c>
      <c r="B3263" s="8" t="s">
        <v>3223</v>
      </c>
    </row>
    <row r="3264" spans="1:2" x14ac:dyDescent="0.3">
      <c r="A3264" s="5" t="str">
        <f>HYPERLINK("http://www.eatonpowersource.com/products/configure/industrial%20valves/details/02-411958","02-411958")</f>
        <v>02-411958</v>
      </c>
      <c r="B3264" s="6" t="s">
        <v>3224</v>
      </c>
    </row>
    <row r="3265" spans="1:2" x14ac:dyDescent="0.3">
      <c r="A3265" s="7" t="str">
        <f>HYPERLINK("http://www.eatonpowersource.com/products/configure/industrial%20valves/details/02-412034","02-412034")</f>
        <v>02-412034</v>
      </c>
      <c r="B3265" s="8" t="s">
        <v>3225</v>
      </c>
    </row>
    <row r="3266" spans="1:2" x14ac:dyDescent="0.3">
      <c r="A3266" s="5" t="str">
        <f>HYPERLINK("http://www.eatonpowersource.com/products/configure/industrial%20valves/details/02-412290","02-412290")</f>
        <v>02-412290</v>
      </c>
      <c r="B3266" s="6" t="s">
        <v>3226</v>
      </c>
    </row>
    <row r="3267" spans="1:2" x14ac:dyDescent="0.3">
      <c r="A3267" s="7" t="str">
        <f>HYPERLINK("http://www.eatonpowersource.com/products/configure/industrial%20valves/details/02-412458","02-412458")</f>
        <v>02-412458</v>
      </c>
      <c r="B3267" s="8" t="s">
        <v>3227</v>
      </c>
    </row>
    <row r="3268" spans="1:2" x14ac:dyDescent="0.3">
      <c r="A3268" s="5" t="str">
        <f>HYPERLINK("http://www.eatonpowersource.com/products/configure/industrial%20valves/details/02-412643","02-412643")</f>
        <v>02-412643</v>
      </c>
      <c r="B3268" s="6" t="s">
        <v>3228</v>
      </c>
    </row>
    <row r="3269" spans="1:2" x14ac:dyDescent="0.3">
      <c r="A3269" s="7" t="str">
        <f>HYPERLINK("http://www.eatonpowersource.com/products/configure/industrial%20valves/details/02-412644","02-412644")</f>
        <v>02-412644</v>
      </c>
      <c r="B3269" s="8" t="s">
        <v>3229</v>
      </c>
    </row>
    <row r="3270" spans="1:2" x14ac:dyDescent="0.3">
      <c r="A3270" s="5" t="str">
        <f>HYPERLINK("http://www.eatonpowersource.com/products/configure/industrial%20valves/details/02-412906","02-412906")</f>
        <v>02-412906</v>
      </c>
      <c r="B3270" s="6" t="s">
        <v>3230</v>
      </c>
    </row>
    <row r="3271" spans="1:2" x14ac:dyDescent="0.3">
      <c r="A3271" s="7" t="str">
        <f>HYPERLINK("http://www.eatonpowersource.com/products/configure/industrial%20valves/details/460697","460697")</f>
        <v>460697</v>
      </c>
      <c r="B3271" s="8" t="s">
        <v>3231</v>
      </c>
    </row>
    <row r="3272" spans="1:2" x14ac:dyDescent="0.3">
      <c r="A3272" s="5" t="str">
        <f>HYPERLINK("http://www.eatonpowersource.com/products/configure/industrial%20valves/details/461664","461664")</f>
        <v>461664</v>
      </c>
      <c r="B3272" s="6" t="s">
        <v>3232</v>
      </c>
    </row>
    <row r="3273" spans="1:2" x14ac:dyDescent="0.3">
      <c r="A3273" s="7" t="str">
        <f>HYPERLINK("http://www.eatonpowersource.com/products/configure/industrial%20valves/details/465439","465439")</f>
        <v>465439</v>
      </c>
      <c r="B3273" s="8" t="s">
        <v>3233</v>
      </c>
    </row>
    <row r="3274" spans="1:2" x14ac:dyDescent="0.3">
      <c r="A3274" s="5" t="str">
        <f>HYPERLINK("http://www.eatonpowersource.com/products/configure/industrial%20valves/details/466188","466188")</f>
        <v>466188</v>
      </c>
      <c r="B3274" s="6" t="s">
        <v>3234</v>
      </c>
    </row>
    <row r="3275" spans="1:2" x14ac:dyDescent="0.3">
      <c r="A3275" s="7" t="str">
        <f>HYPERLINK("http://www.eatonpowersource.com/products/configure/industrial%20valves/details/529909","529909")</f>
        <v>529909</v>
      </c>
      <c r="B3275" s="8" t="s">
        <v>3235</v>
      </c>
    </row>
    <row r="3276" spans="1:2" x14ac:dyDescent="0.3">
      <c r="A3276" s="5" t="str">
        <f>HYPERLINK("http://www.eatonpowersource.com/products/configure/industrial%20valves/details/863an00002a","863AN00002A")</f>
        <v>863AN00002A</v>
      </c>
      <c r="B3276" s="6" t="s">
        <v>3236</v>
      </c>
    </row>
    <row r="3277" spans="1:2" x14ac:dyDescent="0.3">
      <c r="A3277" s="7" t="str">
        <f>HYPERLINK("http://www.eatonpowersource.com/products/configure/industrial%20valves/details/984446","984446")</f>
        <v>984446</v>
      </c>
      <c r="B3277" s="8" t="s">
        <v>3237</v>
      </c>
    </row>
    <row r="3278" spans="1:2" x14ac:dyDescent="0.3">
      <c r="A3278" s="5" t="str">
        <f>HYPERLINK("http://www.eatonpowersource.com/products/configure/industrial%20valves/details/985182","985182")</f>
        <v>985182</v>
      </c>
      <c r="B3278" s="6" t="s">
        <v>3238</v>
      </c>
    </row>
    <row r="3279" spans="1:2" x14ac:dyDescent="0.3">
      <c r="A3279" s="7" t="str">
        <f>HYPERLINK("http://www.eatonpowersource.com/products/configure/industrial%20valves/details/02-358591","02-358591")</f>
        <v>02-358591</v>
      </c>
      <c r="B3279" s="8" t="s">
        <v>3239</v>
      </c>
    </row>
    <row r="3280" spans="1:2" x14ac:dyDescent="0.3">
      <c r="A3280" s="5" t="str">
        <f>HYPERLINK("http://www.eatonpowersource.com/products/configure/industrial%20valves/details/460123","460123")</f>
        <v>460123</v>
      </c>
      <c r="B3280" s="6" t="s">
        <v>3240</v>
      </c>
    </row>
    <row r="3281" spans="1:2" x14ac:dyDescent="0.3">
      <c r="A3281" s="7" t="str">
        <f>HYPERLINK("http://www.eatonpowersource.com/products/configure/industrial%20valves/details/460137","460137")</f>
        <v>460137</v>
      </c>
      <c r="B3281" s="8" t="s">
        <v>3241</v>
      </c>
    </row>
    <row r="3282" spans="1:2" x14ac:dyDescent="0.3">
      <c r="A3282" s="5" t="str">
        <f>HYPERLINK("http://www.eatonpowersource.com/products/configure/industrial%20valves/details/460142","460142")</f>
        <v>460142</v>
      </c>
      <c r="B3282" s="6" t="s">
        <v>3242</v>
      </c>
    </row>
    <row r="3283" spans="1:2" x14ac:dyDescent="0.3">
      <c r="A3283" s="7" t="str">
        <f>HYPERLINK("http://www.eatonpowersource.com/products/configure/industrial%20valves/details/460230","460230")</f>
        <v>460230</v>
      </c>
      <c r="B3283" s="8" t="s">
        <v>3243</v>
      </c>
    </row>
    <row r="3284" spans="1:2" x14ac:dyDescent="0.3">
      <c r="A3284" s="5" t="str">
        <f>HYPERLINK("http://www.eatonpowersource.com/products/configure/industrial%20valves/details/460366","460366")</f>
        <v>460366</v>
      </c>
      <c r="B3284" s="6" t="s">
        <v>3244</v>
      </c>
    </row>
    <row r="3285" spans="1:2" x14ac:dyDescent="0.3">
      <c r="A3285" s="7" t="str">
        <f>HYPERLINK("http://www.eatonpowersource.com/products/configure/industrial%20valves/details/460442","460442")</f>
        <v>460442</v>
      </c>
      <c r="B3285" s="8" t="s">
        <v>3245</v>
      </c>
    </row>
    <row r="3286" spans="1:2" x14ac:dyDescent="0.3">
      <c r="A3286" s="5" t="str">
        <f>HYPERLINK("http://www.eatonpowersource.com/products/configure/industrial%20valves/details/460477","460477")</f>
        <v>460477</v>
      </c>
      <c r="B3286" s="6" t="s">
        <v>3246</v>
      </c>
    </row>
    <row r="3287" spans="1:2" x14ac:dyDescent="0.3">
      <c r="A3287" s="7" t="str">
        <f>HYPERLINK("http://www.eatonpowersource.com/products/configure/industrial%20valves/details/460669","460669")</f>
        <v>460669</v>
      </c>
      <c r="B3287" s="8" t="s">
        <v>3247</v>
      </c>
    </row>
    <row r="3288" spans="1:2" x14ac:dyDescent="0.3">
      <c r="A3288" s="5" t="str">
        <f>HYPERLINK("http://www.eatonpowersource.com/products/configure/industrial%20valves/details/460684","460684")</f>
        <v>460684</v>
      </c>
      <c r="B3288" s="6" t="s">
        <v>3248</v>
      </c>
    </row>
    <row r="3289" spans="1:2" x14ac:dyDescent="0.3">
      <c r="A3289" s="7" t="str">
        <f>HYPERLINK("http://www.eatonpowersource.com/products/configure/industrial%20valves/details/460722","460722")</f>
        <v>460722</v>
      </c>
      <c r="B3289" s="8" t="s">
        <v>3249</v>
      </c>
    </row>
    <row r="3290" spans="1:2" x14ac:dyDescent="0.3">
      <c r="A3290" s="5" t="str">
        <f>HYPERLINK("http://www.eatonpowersource.com/products/configure/industrial%20valves/details/460723","460723")</f>
        <v>460723</v>
      </c>
      <c r="B3290" s="6" t="s">
        <v>3250</v>
      </c>
    </row>
    <row r="3291" spans="1:2" x14ac:dyDescent="0.3">
      <c r="A3291" s="7" t="str">
        <f>HYPERLINK("http://www.eatonpowersource.com/products/configure/industrial%20valves/details/460727","460727")</f>
        <v>460727</v>
      </c>
      <c r="B3291" s="8" t="s">
        <v>3251</v>
      </c>
    </row>
    <row r="3292" spans="1:2" x14ac:dyDescent="0.3">
      <c r="A3292" s="5" t="str">
        <f>HYPERLINK("http://www.eatonpowersource.com/products/configure/industrial%20valves/details/460773","460773")</f>
        <v>460773</v>
      </c>
      <c r="B3292" s="6" t="s">
        <v>3252</v>
      </c>
    </row>
    <row r="3293" spans="1:2" x14ac:dyDescent="0.3">
      <c r="A3293" s="7" t="str">
        <f>HYPERLINK("http://www.eatonpowersource.com/products/configure/industrial%20valves/details/460787","460787")</f>
        <v>460787</v>
      </c>
      <c r="B3293" s="8" t="s">
        <v>3253</v>
      </c>
    </row>
    <row r="3294" spans="1:2" x14ac:dyDescent="0.3">
      <c r="A3294" s="5" t="str">
        <f>HYPERLINK("http://www.eatonpowersource.com/products/configure/industrial%20valves/details/460800","460800")</f>
        <v>460800</v>
      </c>
      <c r="B3294" s="6" t="s">
        <v>3254</v>
      </c>
    </row>
    <row r="3295" spans="1:2" x14ac:dyDescent="0.3">
      <c r="A3295" s="7" t="str">
        <f>HYPERLINK("http://www.eatonpowersource.com/products/configure/industrial%20valves/details/460880","460880")</f>
        <v>460880</v>
      </c>
      <c r="B3295" s="8" t="s">
        <v>3255</v>
      </c>
    </row>
    <row r="3296" spans="1:2" x14ac:dyDescent="0.3">
      <c r="A3296" s="5" t="str">
        <f>HYPERLINK("http://www.eatonpowersource.com/products/configure/industrial%20valves/details/461078","461078")</f>
        <v>461078</v>
      </c>
      <c r="B3296" s="6" t="s">
        <v>3256</v>
      </c>
    </row>
    <row r="3297" spans="1:2" x14ac:dyDescent="0.3">
      <c r="A3297" s="7" t="str">
        <f>HYPERLINK("http://www.eatonpowersource.com/products/configure/industrial%20valves/details/461268","461268")</f>
        <v>461268</v>
      </c>
      <c r="B3297" s="8" t="s">
        <v>3257</v>
      </c>
    </row>
    <row r="3298" spans="1:2" x14ac:dyDescent="0.3">
      <c r="A3298" s="5" t="str">
        <f>HYPERLINK("http://www.eatonpowersource.com/products/configure/industrial%20valves/details/461586","461586")</f>
        <v>461586</v>
      </c>
      <c r="B3298" s="6" t="s">
        <v>3258</v>
      </c>
    </row>
    <row r="3299" spans="1:2" x14ac:dyDescent="0.3">
      <c r="A3299" s="7" t="str">
        <f>HYPERLINK("http://www.eatonpowersource.com/products/configure/industrial%20valves/details/461626","461626")</f>
        <v>461626</v>
      </c>
      <c r="B3299" s="8" t="s">
        <v>3259</v>
      </c>
    </row>
    <row r="3300" spans="1:2" x14ac:dyDescent="0.3">
      <c r="A3300" s="5" t="str">
        <f>HYPERLINK("http://www.eatonpowersource.com/products/configure/industrial%20valves/details/461921","461921")</f>
        <v>461921</v>
      </c>
      <c r="B3300" s="6" t="s">
        <v>3260</v>
      </c>
    </row>
    <row r="3301" spans="1:2" x14ac:dyDescent="0.3">
      <c r="A3301" s="7" t="str">
        <f>HYPERLINK("http://www.eatonpowersource.com/products/configure/industrial%20valves/details/462277","462277")</f>
        <v>462277</v>
      </c>
      <c r="B3301" s="8" t="s">
        <v>3261</v>
      </c>
    </row>
    <row r="3302" spans="1:2" x14ac:dyDescent="0.3">
      <c r="A3302" s="5" t="str">
        <f>HYPERLINK("http://www.eatonpowersource.com/products/configure/industrial%20valves/details/462502","462502")</f>
        <v>462502</v>
      </c>
      <c r="B3302" s="6" t="s">
        <v>3262</v>
      </c>
    </row>
    <row r="3303" spans="1:2" x14ac:dyDescent="0.3">
      <c r="A3303" s="7" t="str">
        <f>HYPERLINK("http://www.eatonpowersource.com/products/configure/industrial%20valves/details/462832","462832")</f>
        <v>462832</v>
      </c>
      <c r="B3303" s="8" t="s">
        <v>3263</v>
      </c>
    </row>
    <row r="3304" spans="1:2" x14ac:dyDescent="0.3">
      <c r="A3304" s="5" t="str">
        <f>HYPERLINK("http://www.eatonpowersource.com/products/configure/industrial%20valves/details/464027","464027")</f>
        <v>464027</v>
      </c>
      <c r="B3304" s="6" t="s">
        <v>3264</v>
      </c>
    </row>
    <row r="3305" spans="1:2" x14ac:dyDescent="0.3">
      <c r="A3305" s="7" t="str">
        <f>HYPERLINK("http://www.eatonpowersource.com/products/configure/industrial%20valves/details/464031","464031")</f>
        <v>464031</v>
      </c>
      <c r="B3305" s="8" t="s">
        <v>3265</v>
      </c>
    </row>
    <row r="3306" spans="1:2" x14ac:dyDescent="0.3">
      <c r="A3306" s="5" t="str">
        <f>HYPERLINK("http://www.eatonpowersource.com/products/configure/industrial%20valves/details/464119","464119")</f>
        <v>464119</v>
      </c>
      <c r="B3306" s="6" t="s">
        <v>3266</v>
      </c>
    </row>
    <row r="3307" spans="1:2" x14ac:dyDescent="0.3">
      <c r="A3307" s="7" t="str">
        <f>HYPERLINK("http://www.eatonpowersource.com/products/configure/industrial%20valves/details/464126","464126")</f>
        <v>464126</v>
      </c>
      <c r="B3307" s="8" t="s">
        <v>3267</v>
      </c>
    </row>
    <row r="3308" spans="1:2" x14ac:dyDescent="0.3">
      <c r="A3308" s="5" t="str">
        <f>HYPERLINK("http://www.eatonpowersource.com/products/configure/industrial%20valves/details/464153","464153")</f>
        <v>464153</v>
      </c>
      <c r="B3308" s="6" t="s">
        <v>3268</v>
      </c>
    </row>
    <row r="3309" spans="1:2" x14ac:dyDescent="0.3">
      <c r="A3309" s="7" t="str">
        <f>HYPERLINK("http://www.eatonpowersource.com/products/configure/industrial%20valves/details/464155","464155")</f>
        <v>464155</v>
      </c>
      <c r="B3309" s="8" t="s">
        <v>3269</v>
      </c>
    </row>
    <row r="3310" spans="1:2" x14ac:dyDescent="0.3">
      <c r="A3310" s="5" t="str">
        <f>HYPERLINK("http://www.eatonpowersource.com/products/configure/industrial%20valves/details/464227","464227")</f>
        <v>464227</v>
      </c>
      <c r="B3310" s="6" t="s">
        <v>3270</v>
      </c>
    </row>
    <row r="3311" spans="1:2" x14ac:dyDescent="0.3">
      <c r="A3311" s="7" t="str">
        <f>HYPERLINK("http://www.eatonpowersource.com/products/configure/industrial%20valves/details/464235","464235")</f>
        <v>464235</v>
      </c>
      <c r="B3311" s="8" t="s">
        <v>3271</v>
      </c>
    </row>
    <row r="3312" spans="1:2" x14ac:dyDescent="0.3">
      <c r="A3312" s="5" t="str">
        <f>HYPERLINK("http://www.eatonpowersource.com/products/configure/industrial%20valves/details/464333","464333")</f>
        <v>464333</v>
      </c>
      <c r="B3312" s="6" t="s">
        <v>3272</v>
      </c>
    </row>
    <row r="3313" spans="1:2" x14ac:dyDescent="0.3">
      <c r="A3313" s="7" t="str">
        <f>HYPERLINK("http://www.eatonpowersource.com/products/configure/industrial%20valves/details/464347","464347")</f>
        <v>464347</v>
      </c>
      <c r="B3313" s="8" t="s">
        <v>3273</v>
      </c>
    </row>
    <row r="3314" spans="1:2" x14ac:dyDescent="0.3">
      <c r="A3314" s="5" t="str">
        <f>HYPERLINK("http://www.eatonpowersource.com/products/configure/industrial%20valves/details/464359","464359")</f>
        <v>464359</v>
      </c>
      <c r="B3314" s="6" t="s">
        <v>3274</v>
      </c>
    </row>
    <row r="3315" spans="1:2" x14ac:dyDescent="0.3">
      <c r="A3315" s="7" t="str">
        <f>HYPERLINK("http://www.eatonpowersource.com/products/configure/industrial%20valves/details/464361","464361")</f>
        <v>464361</v>
      </c>
      <c r="B3315" s="8" t="s">
        <v>3275</v>
      </c>
    </row>
    <row r="3316" spans="1:2" x14ac:dyDescent="0.3">
      <c r="A3316" s="5" t="str">
        <f>HYPERLINK("http://www.eatonpowersource.com/products/configure/industrial%20valves/details/464434","464434")</f>
        <v>464434</v>
      </c>
      <c r="B3316" s="6" t="s">
        <v>3276</v>
      </c>
    </row>
    <row r="3317" spans="1:2" x14ac:dyDescent="0.3">
      <c r="A3317" s="7" t="str">
        <f>HYPERLINK("http://www.eatonpowersource.com/products/configure/industrial%20valves/details/464482","464482")</f>
        <v>464482</v>
      </c>
      <c r="B3317" s="8" t="s">
        <v>3277</v>
      </c>
    </row>
    <row r="3318" spans="1:2" x14ac:dyDescent="0.3">
      <c r="A3318" s="5" t="str">
        <f>HYPERLINK("http://www.eatonpowersource.com/products/configure/industrial%20valves/details/464483","464483")</f>
        <v>464483</v>
      </c>
      <c r="B3318" s="6" t="s">
        <v>3278</v>
      </c>
    </row>
    <row r="3319" spans="1:2" x14ac:dyDescent="0.3">
      <c r="A3319" s="7" t="str">
        <f>HYPERLINK("http://www.eatonpowersource.com/products/configure/industrial%20valves/details/464484","464484")</f>
        <v>464484</v>
      </c>
      <c r="B3319" s="8" t="s">
        <v>3279</v>
      </c>
    </row>
    <row r="3320" spans="1:2" x14ac:dyDescent="0.3">
      <c r="A3320" s="5" t="str">
        <f>HYPERLINK("http://www.eatonpowersource.com/products/configure/industrial%20valves/details/464486","464486")</f>
        <v>464486</v>
      </c>
      <c r="B3320" s="6" t="s">
        <v>3280</v>
      </c>
    </row>
    <row r="3321" spans="1:2" x14ac:dyDescent="0.3">
      <c r="A3321" s="7" t="str">
        <f>HYPERLINK("http://www.eatonpowersource.com/products/configure/industrial%20valves/details/464487","464487")</f>
        <v>464487</v>
      </c>
      <c r="B3321" s="8" t="s">
        <v>3281</v>
      </c>
    </row>
    <row r="3322" spans="1:2" x14ac:dyDescent="0.3">
      <c r="A3322" s="5" t="str">
        <f>HYPERLINK("http://www.eatonpowersource.com/products/configure/industrial%20valves/details/464488","464488")</f>
        <v>464488</v>
      </c>
      <c r="B3322" s="6" t="s">
        <v>3282</v>
      </c>
    </row>
    <row r="3323" spans="1:2" x14ac:dyDescent="0.3">
      <c r="A3323" s="7" t="str">
        <f>HYPERLINK("http://www.eatonpowersource.com/products/configure/industrial%20valves/details/464489","464489")</f>
        <v>464489</v>
      </c>
      <c r="B3323" s="8" t="s">
        <v>3283</v>
      </c>
    </row>
    <row r="3324" spans="1:2" x14ac:dyDescent="0.3">
      <c r="A3324" s="5" t="str">
        <f>HYPERLINK("http://www.eatonpowersource.com/products/configure/industrial%20valves/details/464490","464490")</f>
        <v>464490</v>
      </c>
      <c r="B3324" s="6" t="s">
        <v>3284</v>
      </c>
    </row>
    <row r="3325" spans="1:2" x14ac:dyDescent="0.3">
      <c r="A3325" s="7" t="str">
        <f>HYPERLINK("http://www.eatonpowersource.com/products/configure/industrial%20valves/details/464491","464491")</f>
        <v>464491</v>
      </c>
      <c r="B3325" s="8" t="s">
        <v>3285</v>
      </c>
    </row>
    <row r="3326" spans="1:2" x14ac:dyDescent="0.3">
      <c r="A3326" s="5" t="str">
        <f>HYPERLINK("http://www.eatonpowersource.com/products/configure/industrial%20valves/details/464492","464492")</f>
        <v>464492</v>
      </c>
      <c r="B3326" s="6" t="s">
        <v>3286</v>
      </c>
    </row>
    <row r="3327" spans="1:2" x14ac:dyDescent="0.3">
      <c r="A3327" s="7" t="str">
        <f>HYPERLINK("http://www.eatonpowersource.com/products/configure/industrial%20valves/details/464493","464493")</f>
        <v>464493</v>
      </c>
      <c r="B3327" s="8" t="s">
        <v>3287</v>
      </c>
    </row>
    <row r="3328" spans="1:2" x14ac:dyDescent="0.3">
      <c r="A3328" s="5" t="str">
        <f>HYPERLINK("http://www.eatonpowersource.com/products/configure/industrial%20valves/details/464496","464496")</f>
        <v>464496</v>
      </c>
      <c r="B3328" s="6" t="s">
        <v>3288</v>
      </c>
    </row>
    <row r="3329" spans="1:2" x14ac:dyDescent="0.3">
      <c r="A3329" s="7" t="str">
        <f>HYPERLINK("http://www.eatonpowersource.com/products/configure/industrial%20valves/details/464499","464499")</f>
        <v>464499</v>
      </c>
      <c r="B3329" s="8" t="s">
        <v>3289</v>
      </c>
    </row>
    <row r="3330" spans="1:2" x14ac:dyDescent="0.3">
      <c r="A3330" s="5" t="str">
        <f>HYPERLINK("http://www.eatonpowersource.com/products/configure/industrial%20valves/details/464518","464518")</f>
        <v>464518</v>
      </c>
      <c r="B3330" s="6" t="s">
        <v>3290</v>
      </c>
    </row>
    <row r="3331" spans="1:2" x14ac:dyDescent="0.3">
      <c r="A3331" s="7" t="str">
        <f>HYPERLINK("http://www.eatonpowersource.com/products/configure/industrial%20valves/details/464521","464521")</f>
        <v>464521</v>
      </c>
      <c r="B3331" s="8" t="s">
        <v>3291</v>
      </c>
    </row>
    <row r="3332" spans="1:2" x14ac:dyDescent="0.3">
      <c r="A3332" s="5" t="str">
        <f>HYPERLINK("http://www.eatonpowersource.com/products/configure/industrial%20valves/details/464591","464591")</f>
        <v>464591</v>
      </c>
      <c r="B3332" s="6" t="s">
        <v>3292</v>
      </c>
    </row>
    <row r="3333" spans="1:2" x14ac:dyDescent="0.3">
      <c r="A3333" s="7" t="str">
        <f>HYPERLINK("http://www.eatonpowersource.com/products/configure/industrial%20valves/details/464617","464617")</f>
        <v>464617</v>
      </c>
      <c r="B3333" s="8" t="s">
        <v>3293</v>
      </c>
    </row>
    <row r="3334" spans="1:2" x14ac:dyDescent="0.3">
      <c r="A3334" s="5" t="str">
        <f>HYPERLINK("http://www.eatonpowersource.com/products/configure/industrial%20valves/details/464662","464662")</f>
        <v>464662</v>
      </c>
      <c r="B3334" s="6" t="s">
        <v>3294</v>
      </c>
    </row>
    <row r="3335" spans="1:2" x14ac:dyDescent="0.3">
      <c r="A3335" s="7" t="str">
        <f>HYPERLINK("http://www.eatonpowersource.com/products/configure/industrial%20valves/details/464664","464664")</f>
        <v>464664</v>
      </c>
      <c r="B3335" s="8" t="s">
        <v>3295</v>
      </c>
    </row>
    <row r="3336" spans="1:2" x14ac:dyDescent="0.3">
      <c r="A3336" s="5" t="str">
        <f>HYPERLINK("http://www.eatonpowersource.com/products/configure/industrial%20valves/details/464714","464714")</f>
        <v>464714</v>
      </c>
      <c r="B3336" s="6" t="s">
        <v>3296</v>
      </c>
    </row>
    <row r="3337" spans="1:2" x14ac:dyDescent="0.3">
      <c r="A3337" s="7" t="str">
        <f>HYPERLINK("http://www.eatonpowersource.com/products/configure/industrial%20valves/details/464797","464797")</f>
        <v>464797</v>
      </c>
      <c r="B3337" s="8" t="s">
        <v>3297</v>
      </c>
    </row>
    <row r="3338" spans="1:2" x14ac:dyDescent="0.3">
      <c r="A3338" s="5" t="str">
        <f>HYPERLINK("http://www.eatonpowersource.com/products/configure/industrial%20valves/details/465408","465408")</f>
        <v>465408</v>
      </c>
      <c r="B3338" s="6" t="s">
        <v>3298</v>
      </c>
    </row>
    <row r="3339" spans="1:2" x14ac:dyDescent="0.3">
      <c r="A3339" s="7" t="str">
        <f>HYPERLINK("http://www.eatonpowersource.com/products/configure/industrial%20valves/details/465438","465438")</f>
        <v>465438</v>
      </c>
      <c r="B3339" s="8" t="s">
        <v>3299</v>
      </c>
    </row>
    <row r="3340" spans="1:2" x14ac:dyDescent="0.3">
      <c r="A3340" s="5" t="str">
        <f>HYPERLINK("http://www.eatonpowersource.com/products/configure/industrial%20valves/details/465600","465600")</f>
        <v>465600</v>
      </c>
      <c r="B3340" s="6" t="s">
        <v>3300</v>
      </c>
    </row>
    <row r="3341" spans="1:2" x14ac:dyDescent="0.3">
      <c r="A3341" s="7" t="str">
        <f>HYPERLINK("http://www.eatonpowersource.com/products/configure/industrial%20valves/details/465625","465625")</f>
        <v>465625</v>
      </c>
      <c r="B3341" s="8" t="s">
        <v>3301</v>
      </c>
    </row>
    <row r="3342" spans="1:2" x14ac:dyDescent="0.3">
      <c r="A3342" s="5" t="str">
        <f>HYPERLINK("http://www.eatonpowersource.com/products/configure/industrial%20valves/details/465669","465669")</f>
        <v>465669</v>
      </c>
      <c r="B3342" s="6" t="s">
        <v>3302</v>
      </c>
    </row>
    <row r="3343" spans="1:2" x14ac:dyDescent="0.3">
      <c r="A3343" s="7" t="str">
        <f>HYPERLINK("http://www.eatonpowersource.com/products/configure/industrial%20valves/details/465712","465712")</f>
        <v>465712</v>
      </c>
      <c r="B3343" s="8" t="s">
        <v>3303</v>
      </c>
    </row>
    <row r="3344" spans="1:2" x14ac:dyDescent="0.3">
      <c r="A3344" s="5" t="str">
        <f>HYPERLINK("http://www.eatonpowersource.com/products/configure/industrial%20valves/details/465868","465868")</f>
        <v>465868</v>
      </c>
      <c r="B3344" s="6" t="s">
        <v>3304</v>
      </c>
    </row>
    <row r="3345" spans="1:2" x14ac:dyDescent="0.3">
      <c r="A3345" s="7" t="str">
        <f>HYPERLINK("http://www.eatonpowersource.com/products/configure/industrial%20valves/details/465879","465879")</f>
        <v>465879</v>
      </c>
      <c r="B3345" s="8" t="s">
        <v>3305</v>
      </c>
    </row>
    <row r="3346" spans="1:2" x14ac:dyDescent="0.3">
      <c r="A3346" s="5" t="str">
        <f>HYPERLINK("http://www.eatonpowersource.com/products/configure/industrial%20valves/details/465888","465888")</f>
        <v>465888</v>
      </c>
      <c r="B3346" s="6" t="s">
        <v>3306</v>
      </c>
    </row>
    <row r="3347" spans="1:2" x14ac:dyDescent="0.3">
      <c r="A3347" s="7" t="str">
        <f>HYPERLINK("http://www.eatonpowersource.com/products/configure/industrial%20valves/details/466458","466458")</f>
        <v>466458</v>
      </c>
      <c r="B3347" s="8" t="s">
        <v>3307</v>
      </c>
    </row>
    <row r="3348" spans="1:2" x14ac:dyDescent="0.3">
      <c r="A3348" s="5" t="str">
        <f>HYPERLINK("http://www.eatonpowersource.com/products/configure/industrial%20valves/details/466459","466459")</f>
        <v>466459</v>
      </c>
      <c r="B3348" s="6" t="s">
        <v>3308</v>
      </c>
    </row>
    <row r="3349" spans="1:2" x14ac:dyDescent="0.3">
      <c r="A3349" s="7" t="str">
        <f>HYPERLINK("http://www.eatonpowersource.com/products/configure/industrial%20valves/details/466660","466660")</f>
        <v>466660</v>
      </c>
      <c r="B3349" s="8" t="s">
        <v>3309</v>
      </c>
    </row>
    <row r="3350" spans="1:2" x14ac:dyDescent="0.3">
      <c r="A3350" s="5" t="str">
        <f>HYPERLINK("http://www.eatonpowersource.com/products/configure/industrial%20valves/details/466661","466661")</f>
        <v>466661</v>
      </c>
      <c r="B3350" s="6" t="s">
        <v>3310</v>
      </c>
    </row>
    <row r="3351" spans="1:2" x14ac:dyDescent="0.3">
      <c r="A3351" s="7" t="str">
        <f>HYPERLINK("http://www.eatonpowersource.com/products/configure/industrial%20valves/details/466664","466664")</f>
        <v>466664</v>
      </c>
      <c r="B3351" s="8" t="s">
        <v>3311</v>
      </c>
    </row>
    <row r="3352" spans="1:2" x14ac:dyDescent="0.3">
      <c r="A3352" s="5" t="str">
        <f>HYPERLINK("http://www.eatonpowersource.com/products/configure/industrial%20valves/details/614410","614410")</f>
        <v>614410</v>
      </c>
      <c r="B3352" s="6" t="s">
        <v>3312</v>
      </c>
    </row>
    <row r="3353" spans="1:2" x14ac:dyDescent="0.3">
      <c r="A3353" s="7" t="str">
        <f>HYPERLINK("http://www.eatonpowersource.com/products/configure/industrial%20valves/details/615473","615473")</f>
        <v>615473</v>
      </c>
      <c r="B3353" s="8" t="s">
        <v>3313</v>
      </c>
    </row>
    <row r="3354" spans="1:2" x14ac:dyDescent="0.3">
      <c r="A3354" s="5" t="str">
        <f>HYPERLINK("http://www.eatonpowersource.com/products/configure/industrial%20valves/details/616652","616652")</f>
        <v>616652</v>
      </c>
      <c r="B3354" s="6" t="s">
        <v>3314</v>
      </c>
    </row>
    <row r="3355" spans="1:2" x14ac:dyDescent="0.3">
      <c r="A3355" s="7" t="str">
        <f>HYPERLINK("http://www.eatonpowersource.com/products/configure/industrial%20valves/details/616936","616936")</f>
        <v>616936</v>
      </c>
      <c r="B3355" s="8" t="s">
        <v>3315</v>
      </c>
    </row>
    <row r="3356" spans="1:2" x14ac:dyDescent="0.3">
      <c r="A3356" s="5" t="str">
        <f>HYPERLINK("http://www.eatonpowersource.com/products/configure/industrial%20valves/details/638406","638406")</f>
        <v>638406</v>
      </c>
      <c r="B3356" s="6" t="s">
        <v>3316</v>
      </c>
    </row>
    <row r="3357" spans="1:2" x14ac:dyDescent="0.3">
      <c r="A3357" s="7" t="str">
        <f>HYPERLINK("http://www.eatonpowersource.com/products/configure/industrial%20valves/details/639727","639727")</f>
        <v>639727</v>
      </c>
      <c r="B3357" s="8" t="s">
        <v>3317</v>
      </c>
    </row>
    <row r="3358" spans="1:2" x14ac:dyDescent="0.3">
      <c r="A3358" s="5" t="str">
        <f>HYPERLINK("http://www.eatonpowersource.com/products/configure/industrial%20valves/details/708185","708185")</f>
        <v>708185</v>
      </c>
      <c r="B3358" s="6" t="s">
        <v>3318</v>
      </c>
    </row>
    <row r="3359" spans="1:2" x14ac:dyDescent="0.3">
      <c r="A3359" s="7" t="str">
        <f>HYPERLINK("http://www.eatonpowersource.com/products/configure/industrial%20valves/details/708191","708191")</f>
        <v>708191</v>
      </c>
      <c r="B3359" s="8" t="s">
        <v>3319</v>
      </c>
    </row>
    <row r="3360" spans="1:2" x14ac:dyDescent="0.3">
      <c r="A3360" s="5" t="str">
        <f>HYPERLINK("http://www.eatonpowersource.com/products/configure/industrial%20valves/details/708195","708195")</f>
        <v>708195</v>
      </c>
      <c r="B3360" s="6" t="s">
        <v>3320</v>
      </c>
    </row>
    <row r="3361" spans="1:2" x14ac:dyDescent="0.3">
      <c r="A3361" s="7" t="str">
        <f>HYPERLINK("http://www.eatonpowersource.com/products/configure/industrial%20valves/details/708199","708199")</f>
        <v>708199</v>
      </c>
      <c r="B3361" s="8" t="s">
        <v>3321</v>
      </c>
    </row>
    <row r="3362" spans="1:2" x14ac:dyDescent="0.3">
      <c r="A3362" s="5" t="str">
        <f>HYPERLINK("http://www.eatonpowersource.com/products/configure/industrial%20valves/details/760332","760332")</f>
        <v>760332</v>
      </c>
      <c r="B3362" s="6" t="s">
        <v>3322</v>
      </c>
    </row>
    <row r="3363" spans="1:2" x14ac:dyDescent="0.3">
      <c r="A3363" s="7" t="str">
        <f>HYPERLINK("http://www.eatonpowersource.com/products/configure/industrial%20valves/details/760334","760334")</f>
        <v>760334</v>
      </c>
      <c r="B3363" s="8" t="s">
        <v>3323</v>
      </c>
    </row>
    <row r="3364" spans="1:2" x14ac:dyDescent="0.3">
      <c r="A3364" s="5" t="str">
        <f>HYPERLINK("http://www.eatonpowersource.com/products/configure/industrial%20valves/details/803441","803441")</f>
        <v>803441</v>
      </c>
      <c r="B3364" s="6" t="s">
        <v>3324</v>
      </c>
    </row>
    <row r="3365" spans="1:2" x14ac:dyDescent="0.3">
      <c r="A3365" s="7" t="str">
        <f>HYPERLINK("http://www.eatonpowersource.com/products/configure/industrial%20valves/details/803804","803804")</f>
        <v>803804</v>
      </c>
      <c r="B3365" s="8" t="s">
        <v>3325</v>
      </c>
    </row>
    <row r="3366" spans="1:2" x14ac:dyDescent="0.3">
      <c r="A3366" s="5" t="str">
        <f>HYPERLINK("http://www.eatonpowersource.com/products/configure/industrial%20valves/details/870246","870246")</f>
        <v>870246</v>
      </c>
      <c r="B3366" s="6" t="s">
        <v>3326</v>
      </c>
    </row>
    <row r="3367" spans="1:2" x14ac:dyDescent="0.3">
      <c r="A3367" s="7" t="str">
        <f>HYPERLINK("http://www.eatonpowersource.com/products/configure/industrial%20valves/details/871883","871883")</f>
        <v>871883</v>
      </c>
      <c r="B3367" s="8" t="s">
        <v>3327</v>
      </c>
    </row>
    <row r="3368" spans="1:2" x14ac:dyDescent="0.3">
      <c r="A3368" s="5" t="str">
        <f>HYPERLINK("http://www.eatonpowersource.com/products/configure/industrial%20valves/details/975187","975187")</f>
        <v>975187</v>
      </c>
      <c r="B3368" s="6" t="s">
        <v>3328</v>
      </c>
    </row>
    <row r="3369" spans="1:2" x14ac:dyDescent="0.3">
      <c r="A3369" s="7" t="str">
        <f>HYPERLINK("http://www.eatonpowersource.com/products/configure/industrial%20valves/details/975501","975501")</f>
        <v>975501</v>
      </c>
      <c r="B3369" s="8" t="s">
        <v>3329</v>
      </c>
    </row>
    <row r="3370" spans="1:2" x14ac:dyDescent="0.3">
      <c r="A3370" s="5" t="str">
        <f>HYPERLINK("http://www.eatonpowersource.com/products/configure/industrial%20valves/details/975569","975569")</f>
        <v>975569</v>
      </c>
      <c r="B3370" s="6" t="s">
        <v>3330</v>
      </c>
    </row>
    <row r="3371" spans="1:2" x14ac:dyDescent="0.3">
      <c r="A3371" s="7" t="str">
        <f>HYPERLINK("http://www.eatonpowersource.com/products/configure/industrial%20valves/details/975720","975720")</f>
        <v>975720</v>
      </c>
      <c r="B3371" s="8" t="s">
        <v>3331</v>
      </c>
    </row>
    <row r="3372" spans="1:2" x14ac:dyDescent="0.3">
      <c r="A3372" s="5" t="str">
        <f>HYPERLINK("http://www.eatonpowersource.com/products/configure/industrial%20valves/details/976390","976390")</f>
        <v>976390</v>
      </c>
      <c r="B3372" s="6" t="s">
        <v>3332</v>
      </c>
    </row>
    <row r="3373" spans="1:2" x14ac:dyDescent="0.3">
      <c r="A3373" s="7" t="str">
        <f>HYPERLINK("http://www.eatonpowersource.com/products/configure/industrial%20valves/details/984719","984719")</f>
        <v>984719</v>
      </c>
      <c r="B3373" s="8" t="s">
        <v>3333</v>
      </c>
    </row>
    <row r="3374" spans="1:2" x14ac:dyDescent="0.3">
      <c r="A3374" s="5" t="str">
        <f>HYPERLINK("http://www.eatonpowersource.com/products/configure/industrial%20valves/details/984773","984773")</f>
        <v>984773</v>
      </c>
      <c r="B3374" s="6" t="s">
        <v>3334</v>
      </c>
    </row>
    <row r="3375" spans="1:2" x14ac:dyDescent="0.3">
      <c r="A3375" s="7" t="str">
        <f>HYPERLINK("http://www.eatonpowersource.com/products/configure/industrial%20valves/details/985121","985121")</f>
        <v>985121</v>
      </c>
      <c r="B3375" s="8" t="s">
        <v>3335</v>
      </c>
    </row>
    <row r="3376" spans="1:2" x14ac:dyDescent="0.3">
      <c r="A3376" s="5" t="str">
        <f>HYPERLINK("http://www.eatonpowersource.com/products/configure/industrial%20valves/details/985160","985160")</f>
        <v>985160</v>
      </c>
      <c r="B3376" s="6" t="s">
        <v>3336</v>
      </c>
    </row>
    <row r="3377" spans="1:2" x14ac:dyDescent="0.3">
      <c r="A3377" s="7" t="str">
        <f>HYPERLINK("http://www.eatonpowersource.com/products/configure/industrial%20valves/details/985167","985167")</f>
        <v>985167</v>
      </c>
      <c r="B3377" s="8" t="s">
        <v>3337</v>
      </c>
    </row>
    <row r="3378" spans="1:2" x14ac:dyDescent="0.3">
      <c r="A3378" s="5" t="str">
        <f>HYPERLINK("http://www.eatonpowersource.com/products/configure/industrial%20valves/details/985168","985168")</f>
        <v>985168</v>
      </c>
      <c r="B3378" s="6" t="s">
        <v>3338</v>
      </c>
    </row>
    <row r="3379" spans="1:2" x14ac:dyDescent="0.3">
      <c r="A3379" s="7" t="str">
        <f>HYPERLINK("http://www.eatonpowersource.com/products/configure/industrial%20valves/details/985170","985170")</f>
        <v>985170</v>
      </c>
      <c r="B3379" s="8" t="s">
        <v>3339</v>
      </c>
    </row>
    <row r="3380" spans="1:2" x14ac:dyDescent="0.3">
      <c r="A3380" s="5" t="str">
        <f>HYPERLINK("http://www.eatonpowersource.com/products/configure/industrial%20valves/details/985174","985174")</f>
        <v>985174</v>
      </c>
      <c r="B3380" s="6" t="s">
        <v>3340</v>
      </c>
    </row>
    <row r="3381" spans="1:2" x14ac:dyDescent="0.3">
      <c r="A3381" s="7" t="str">
        <f>HYPERLINK("http://www.eatonpowersource.com/products/configure/industrial%20valves/details/985178","985178")</f>
        <v>985178</v>
      </c>
      <c r="B3381" s="8" t="s">
        <v>3341</v>
      </c>
    </row>
    <row r="3382" spans="1:2" x14ac:dyDescent="0.3">
      <c r="A3382" s="5" t="str">
        <f>HYPERLINK("http://www.eatonpowersource.com/products/configure/industrial%20valves/details/985180","985180")</f>
        <v>985180</v>
      </c>
      <c r="B3382" s="6" t="s">
        <v>3342</v>
      </c>
    </row>
    <row r="3383" spans="1:2" x14ac:dyDescent="0.3">
      <c r="A3383" s="7" t="str">
        <f>HYPERLINK("http://www.eatonpowersource.com/products/configure/industrial%20valves/details/985641","985641")</f>
        <v>985641</v>
      </c>
      <c r="B3383" s="8" t="s">
        <v>3343</v>
      </c>
    </row>
    <row r="3384" spans="1:2" x14ac:dyDescent="0.3">
      <c r="A3384" s="5" t="str">
        <f>HYPERLINK("http://www.eatonpowersource.com/products/configure/industrial%20valves/details/985857","985857")</f>
        <v>985857</v>
      </c>
      <c r="B3384" s="6" t="s">
        <v>3344</v>
      </c>
    </row>
    <row r="3385" spans="1:2" x14ac:dyDescent="0.3">
      <c r="A3385" s="7" t="str">
        <f>HYPERLINK("http://www.eatonpowersource.com/products/configure/industrial%20valves/details/02-146933","02-146933")</f>
        <v>02-146933</v>
      </c>
      <c r="B3385" s="8" t="s">
        <v>3345</v>
      </c>
    </row>
    <row r="3386" spans="1:2" x14ac:dyDescent="0.3">
      <c r="A3386" s="5" t="str">
        <f>HYPERLINK("http://www.eatonpowersource.com/products/configure/industrial%20valves/details/02-310721","02-310721")</f>
        <v>02-310721</v>
      </c>
      <c r="B3386" s="6" t="s">
        <v>3346</v>
      </c>
    </row>
    <row r="3387" spans="1:2" x14ac:dyDescent="0.3">
      <c r="A3387" s="7" t="str">
        <f>HYPERLINK("http://www.eatonpowersource.com/products/configure/industrial%20valves/details/02-333112","02-333112")</f>
        <v>02-333112</v>
      </c>
      <c r="B3387" s="8" t="s">
        <v>3347</v>
      </c>
    </row>
    <row r="3388" spans="1:2" x14ac:dyDescent="0.3">
      <c r="A3388" s="5" t="str">
        <f>HYPERLINK("http://www.eatonpowersource.com/products/configure/industrial%20valves/details/459316","459316")</f>
        <v>459316</v>
      </c>
      <c r="B3388" s="6" t="s">
        <v>3348</v>
      </c>
    </row>
    <row r="3389" spans="1:2" x14ac:dyDescent="0.3">
      <c r="A3389" s="7" t="str">
        <f>HYPERLINK("http://www.eatonpowersource.com/products/configure/industrial%20valves/details/459741","459741")</f>
        <v>459741</v>
      </c>
      <c r="B3389" s="8" t="s">
        <v>3349</v>
      </c>
    </row>
    <row r="3390" spans="1:2" x14ac:dyDescent="0.3">
      <c r="A3390" s="5" t="str">
        <f>HYPERLINK("http://www.eatonpowersource.com/products/configure/industrial%20valves/details/506704","506704")</f>
        <v>506704</v>
      </c>
      <c r="B3390" s="6" t="s">
        <v>3350</v>
      </c>
    </row>
    <row r="3391" spans="1:2" x14ac:dyDescent="0.3">
      <c r="A3391" s="7" t="str">
        <f>HYPERLINK("http://www.eatonpowersource.com/products/configure/industrial%20valves/details/529557","529557")</f>
        <v>529557</v>
      </c>
      <c r="B3391" s="8" t="s">
        <v>3351</v>
      </c>
    </row>
    <row r="3392" spans="1:2" x14ac:dyDescent="0.3">
      <c r="A3392" s="5" t="str">
        <f>HYPERLINK("http://www.eatonpowersource.com/products/configure/industrial%20valves/details/615002","615002")</f>
        <v>615002</v>
      </c>
      <c r="B3392" s="6" t="s">
        <v>3352</v>
      </c>
    </row>
    <row r="3393" spans="1:2" x14ac:dyDescent="0.3">
      <c r="A3393" s="7" t="str">
        <f>HYPERLINK("http://www.eatonpowersource.com/products/configure/industrial%20valves/details/615003","615003")</f>
        <v>615003</v>
      </c>
      <c r="B3393" s="8" t="s">
        <v>3353</v>
      </c>
    </row>
    <row r="3394" spans="1:2" x14ac:dyDescent="0.3">
      <c r="A3394" s="5" t="str">
        <f>HYPERLINK("http://www.eatonpowersource.com/products/configure/industrial%20valves/details/615004","615004")</f>
        <v>615004</v>
      </c>
      <c r="B3394" s="6" t="s">
        <v>3354</v>
      </c>
    </row>
    <row r="3395" spans="1:2" x14ac:dyDescent="0.3">
      <c r="A3395" s="7" t="str">
        <f>HYPERLINK("http://www.eatonpowersource.com/products/configure/industrial%20valves/details/615005","615005")</f>
        <v>615005</v>
      </c>
      <c r="B3395" s="8" t="s">
        <v>3355</v>
      </c>
    </row>
    <row r="3396" spans="1:2" x14ac:dyDescent="0.3">
      <c r="A3396" s="5" t="str">
        <f>HYPERLINK("http://www.eatonpowersource.com/products/configure/industrial%20valves/details/615006","615006")</f>
        <v>615006</v>
      </c>
      <c r="B3396" s="6" t="s">
        <v>3356</v>
      </c>
    </row>
    <row r="3397" spans="1:2" x14ac:dyDescent="0.3">
      <c r="A3397" s="7" t="str">
        <f>HYPERLINK("http://www.eatonpowersource.com/products/configure/industrial%20valves/details/615007","615007")</f>
        <v>615007</v>
      </c>
      <c r="B3397" s="8" t="s">
        <v>3357</v>
      </c>
    </row>
    <row r="3398" spans="1:2" x14ac:dyDescent="0.3">
      <c r="A3398" s="5" t="str">
        <f>HYPERLINK("http://www.eatonpowersource.com/products/configure/industrial%20valves/details/615008","615008")</f>
        <v>615008</v>
      </c>
      <c r="B3398" s="6" t="s">
        <v>3358</v>
      </c>
    </row>
    <row r="3399" spans="1:2" x14ac:dyDescent="0.3">
      <c r="A3399" s="7" t="str">
        <f>HYPERLINK("http://www.eatonpowersource.com/products/configure/industrial%20valves/details/615009","615009")</f>
        <v>615009</v>
      </c>
      <c r="B3399" s="8" t="s">
        <v>3359</v>
      </c>
    </row>
    <row r="3400" spans="1:2" x14ac:dyDescent="0.3">
      <c r="A3400" s="5" t="str">
        <f>HYPERLINK("http://www.eatonpowersource.com/products/configure/industrial%20valves/details/615785","615785")</f>
        <v>615785</v>
      </c>
      <c r="B3400" s="6" t="s">
        <v>3360</v>
      </c>
    </row>
    <row r="3401" spans="1:2" x14ac:dyDescent="0.3">
      <c r="A3401" s="7" t="str">
        <f>HYPERLINK("http://www.eatonpowersource.com/products/configure/industrial%20valves/details/616853","616853")</f>
        <v>616853</v>
      </c>
      <c r="B3401" s="8" t="s">
        <v>3361</v>
      </c>
    </row>
    <row r="3402" spans="1:2" x14ac:dyDescent="0.3">
      <c r="A3402" s="5" t="str">
        <f>HYPERLINK("http://www.eatonpowersource.com/products/configure/industrial%20valves/details/616854","616854")</f>
        <v>616854</v>
      </c>
      <c r="B3402" s="6" t="s">
        <v>3362</v>
      </c>
    </row>
    <row r="3403" spans="1:2" x14ac:dyDescent="0.3">
      <c r="A3403" s="7" t="str">
        <f>HYPERLINK("http://www.eatonpowersource.com/products/configure/industrial%20valves/details/638423","638423")</f>
        <v>638423</v>
      </c>
      <c r="B3403" s="8" t="s">
        <v>3363</v>
      </c>
    </row>
    <row r="3404" spans="1:2" x14ac:dyDescent="0.3">
      <c r="A3404" s="5" t="str">
        <f>HYPERLINK("http://www.eatonpowersource.com/products/configure/industrial%20valves/details/638424","638424")</f>
        <v>638424</v>
      </c>
      <c r="B3404" s="6" t="s">
        <v>3364</v>
      </c>
    </row>
    <row r="3405" spans="1:2" x14ac:dyDescent="0.3">
      <c r="A3405" s="7" t="str">
        <f>HYPERLINK("http://www.eatonpowersource.com/products/configure/industrial%20valves/details/638425","638425")</f>
        <v>638425</v>
      </c>
      <c r="B3405" s="8" t="s">
        <v>3365</v>
      </c>
    </row>
    <row r="3406" spans="1:2" x14ac:dyDescent="0.3">
      <c r="A3406" s="5" t="str">
        <f>HYPERLINK("http://www.eatonpowersource.com/products/configure/industrial%20valves/details/638429","638429")</f>
        <v>638429</v>
      </c>
      <c r="B3406" s="6" t="s">
        <v>3366</v>
      </c>
    </row>
    <row r="3407" spans="1:2" x14ac:dyDescent="0.3">
      <c r="A3407" s="7" t="str">
        <f>HYPERLINK("http://www.eatonpowersource.com/products/configure/industrial%20valves/details/639023","639023")</f>
        <v>639023</v>
      </c>
      <c r="B3407" s="8" t="s">
        <v>3367</v>
      </c>
    </row>
    <row r="3408" spans="1:2" x14ac:dyDescent="0.3">
      <c r="A3408" s="5" t="str">
        <f>HYPERLINK("http://www.eatonpowersource.com/products/configure/industrial%20valves/details/639738","639738")</f>
        <v>639738</v>
      </c>
      <c r="B3408" s="6" t="s">
        <v>3368</v>
      </c>
    </row>
    <row r="3409" spans="1:2" x14ac:dyDescent="0.3">
      <c r="A3409" s="7" t="str">
        <f>HYPERLINK("http://www.eatonpowersource.com/products/configure/industrial%20valves/details/639864","639864")</f>
        <v>639864</v>
      </c>
      <c r="B3409" s="8" t="s">
        <v>3369</v>
      </c>
    </row>
    <row r="3410" spans="1:2" x14ac:dyDescent="0.3">
      <c r="A3410" s="5" t="str">
        <f>HYPERLINK("http://www.eatonpowersource.com/products/configure/industrial%20valves/details/709408","709408")</f>
        <v>709408</v>
      </c>
      <c r="B3410" s="6" t="s">
        <v>3370</v>
      </c>
    </row>
    <row r="3411" spans="1:2" x14ac:dyDescent="0.3">
      <c r="A3411" s="7" t="str">
        <f>HYPERLINK("http://www.eatonpowersource.com/products/configure/industrial%20valves/details/709409","709409")</f>
        <v>709409</v>
      </c>
      <c r="B3411" s="8" t="s">
        <v>3371</v>
      </c>
    </row>
    <row r="3412" spans="1:2" x14ac:dyDescent="0.3">
      <c r="A3412" s="5" t="str">
        <f>HYPERLINK("http://www.eatonpowersource.com/products/configure/industrial%20valves/details/709410","709410")</f>
        <v>709410</v>
      </c>
      <c r="B3412" s="6" t="s">
        <v>3372</v>
      </c>
    </row>
    <row r="3413" spans="1:2" x14ac:dyDescent="0.3">
      <c r="A3413" s="7" t="str">
        <f>HYPERLINK("http://www.eatonpowersource.com/products/configure/industrial%20valves/details/709411","709411")</f>
        <v>709411</v>
      </c>
      <c r="B3413" s="8" t="s">
        <v>3373</v>
      </c>
    </row>
    <row r="3414" spans="1:2" x14ac:dyDescent="0.3">
      <c r="A3414" s="5" t="str">
        <f>HYPERLINK("http://www.eatonpowersource.com/products/configure/industrial%20valves/details/709412","709412")</f>
        <v>709412</v>
      </c>
      <c r="B3414" s="6" t="s">
        <v>3374</v>
      </c>
    </row>
    <row r="3415" spans="1:2" x14ac:dyDescent="0.3">
      <c r="A3415" s="7" t="str">
        <f>HYPERLINK("http://www.eatonpowersource.com/products/configure/industrial%20valves/details/709413","709413")</f>
        <v>709413</v>
      </c>
      <c r="B3415" s="8" t="s">
        <v>3375</v>
      </c>
    </row>
    <row r="3416" spans="1:2" x14ac:dyDescent="0.3">
      <c r="A3416" s="5" t="str">
        <f>HYPERLINK("http://www.eatonpowersource.com/products/configure/industrial%20valves/details/709414","709414")</f>
        <v>709414</v>
      </c>
      <c r="B3416" s="6" t="s">
        <v>3376</v>
      </c>
    </row>
    <row r="3417" spans="1:2" x14ac:dyDescent="0.3">
      <c r="A3417" s="7" t="str">
        <f>HYPERLINK("http://www.eatonpowersource.com/products/configure/industrial%20valves/details/709415","709415")</f>
        <v>709415</v>
      </c>
      <c r="B3417" s="8" t="s">
        <v>3377</v>
      </c>
    </row>
    <row r="3418" spans="1:2" x14ac:dyDescent="0.3">
      <c r="A3418" s="5" t="str">
        <f>HYPERLINK("http://www.eatonpowersource.com/products/configure/industrial%20valves/details/709416","709416")</f>
        <v>709416</v>
      </c>
      <c r="B3418" s="6" t="s">
        <v>3378</v>
      </c>
    </row>
    <row r="3419" spans="1:2" x14ac:dyDescent="0.3">
      <c r="A3419" s="7" t="str">
        <f>HYPERLINK("http://www.eatonpowersource.com/products/configure/industrial%20valves/details/709417","709417")</f>
        <v>709417</v>
      </c>
      <c r="B3419" s="8" t="s">
        <v>3379</v>
      </c>
    </row>
    <row r="3420" spans="1:2" x14ac:dyDescent="0.3">
      <c r="A3420" s="5" t="str">
        <f>HYPERLINK("http://www.eatonpowersource.com/products/configure/industrial%20valves/details/719674","719674")</f>
        <v>719674</v>
      </c>
      <c r="B3420" s="6" t="s">
        <v>3380</v>
      </c>
    </row>
    <row r="3421" spans="1:2" x14ac:dyDescent="0.3">
      <c r="A3421" s="7" t="str">
        <f>HYPERLINK("http://www.eatonpowersource.com/products/configure/industrial%20valves/details/719701","719701")</f>
        <v>719701</v>
      </c>
      <c r="B3421" s="8" t="s">
        <v>3381</v>
      </c>
    </row>
    <row r="3422" spans="1:2" x14ac:dyDescent="0.3">
      <c r="A3422" s="5" t="str">
        <f>HYPERLINK("http://www.eatonpowersource.com/products/configure/industrial%20valves/details/719874","719874")</f>
        <v>719874</v>
      </c>
      <c r="B3422" s="6" t="s">
        <v>3382</v>
      </c>
    </row>
    <row r="3423" spans="1:2" x14ac:dyDescent="0.3">
      <c r="A3423" s="7" t="str">
        <f>HYPERLINK("http://www.eatonpowersource.com/products/configure/industrial%20valves/details/719889","719889")</f>
        <v>719889</v>
      </c>
      <c r="B3423" s="8" t="s">
        <v>3383</v>
      </c>
    </row>
    <row r="3424" spans="1:2" x14ac:dyDescent="0.3">
      <c r="A3424" s="5" t="str">
        <f>HYPERLINK("http://www.eatonpowersource.com/products/configure/industrial%20valves/details/719921","719921")</f>
        <v>719921</v>
      </c>
      <c r="B3424" s="6" t="s">
        <v>3384</v>
      </c>
    </row>
    <row r="3425" spans="1:2" x14ac:dyDescent="0.3">
      <c r="A3425" s="7" t="str">
        <f>HYPERLINK("http://www.eatonpowersource.com/products/configure/industrial%20valves/details/719922","719922")</f>
        <v>719922</v>
      </c>
      <c r="B3425" s="8" t="s">
        <v>3385</v>
      </c>
    </row>
    <row r="3426" spans="1:2" x14ac:dyDescent="0.3">
      <c r="A3426" s="5" t="str">
        <f>HYPERLINK("http://www.eatonpowersource.com/products/configure/industrial%20valves/details/720415","720415")</f>
        <v>720415</v>
      </c>
      <c r="B3426" s="6" t="s">
        <v>3386</v>
      </c>
    </row>
    <row r="3427" spans="1:2" x14ac:dyDescent="0.3">
      <c r="A3427" s="7" t="str">
        <f>HYPERLINK("http://www.eatonpowersource.com/products/configure/industrial%20valves/details/872205","872205")</f>
        <v>872205</v>
      </c>
      <c r="B3427" s="8" t="s">
        <v>3387</v>
      </c>
    </row>
    <row r="3428" spans="1:2" x14ac:dyDescent="0.3">
      <c r="A3428" s="5" t="str">
        <f>HYPERLINK("http://www.eatonpowersource.com/products/configure/industrial%20valves/details/990884","990884")</f>
        <v>990884</v>
      </c>
      <c r="B3428" s="6" t="s">
        <v>3388</v>
      </c>
    </row>
    <row r="3429" spans="1:2" x14ac:dyDescent="0.3">
      <c r="A3429" s="7" t="str">
        <f>HYPERLINK("http://www.eatonpowersource.com/products/configure/industrial%20valves/details/991482","991482")</f>
        <v>991482</v>
      </c>
      <c r="B3429" s="8" t="s">
        <v>3389</v>
      </c>
    </row>
    <row r="3430" spans="1:2" x14ac:dyDescent="0.3">
      <c r="A3430" s="5" t="str">
        <f>HYPERLINK("http://www.eatonpowersource.com/products/configure/industrial%20valves/details/991491","991491")</f>
        <v>991491</v>
      </c>
      <c r="B3430" s="6" t="s">
        <v>3390</v>
      </c>
    </row>
    <row r="3431" spans="1:2" x14ac:dyDescent="0.3">
      <c r="A3431" s="7" t="str">
        <f>HYPERLINK("http://www.eatonpowersource.com/products/configure/industrial%20valves/details/991980","991980")</f>
        <v>991980</v>
      </c>
      <c r="B3431" s="8" t="s">
        <v>3391</v>
      </c>
    </row>
    <row r="3432" spans="1:2" x14ac:dyDescent="0.3">
      <c r="A3432" s="5" t="str">
        <f>HYPERLINK("http://www.eatonpowersource.com/products/configure/industrial%20valves/details/992264","992264")</f>
        <v>992264</v>
      </c>
      <c r="B3432" s="6" t="s">
        <v>3392</v>
      </c>
    </row>
    <row r="3433" spans="1:2" x14ac:dyDescent="0.3">
      <c r="A3433" s="7" t="str">
        <f>HYPERLINK("http://www.eatonpowersource.com/products/configure/industrial%20valves/details/992359","992359")</f>
        <v>992359</v>
      </c>
      <c r="B3433" s="8" t="s">
        <v>3393</v>
      </c>
    </row>
    <row r="3434" spans="1:2" x14ac:dyDescent="0.3">
      <c r="A3434" s="5" t="str">
        <f>HYPERLINK("http://www.eatonpowersource.com/products/configure/industrial%20valves/details/992394","992394")</f>
        <v>992394</v>
      </c>
      <c r="B3434" s="6" t="s">
        <v>3394</v>
      </c>
    </row>
    <row r="3435" spans="1:2" x14ac:dyDescent="0.3">
      <c r="A3435" s="7" t="str">
        <f>HYPERLINK("http://www.eatonpowersource.com/products/configure/industrial%20valves/details/992432","992432")</f>
        <v>992432</v>
      </c>
      <c r="B3435" s="8" t="s">
        <v>3395</v>
      </c>
    </row>
    <row r="3436" spans="1:2" x14ac:dyDescent="0.3">
      <c r="A3436" s="5" t="str">
        <f>HYPERLINK("http://www.eatonpowersource.com/products/configure/industrial%20valves/details/461325","461325")</f>
        <v>461325</v>
      </c>
      <c r="B3436" s="6" t="s">
        <v>3396</v>
      </c>
    </row>
    <row r="3437" spans="1:2" x14ac:dyDescent="0.3">
      <c r="A3437" s="7" t="str">
        <f>HYPERLINK("http://www.eatonpowersource.com/products/configure/industrial%20valves/details/253361","253361")</f>
        <v>253361</v>
      </c>
      <c r="B3437" s="8" t="s">
        <v>3397</v>
      </c>
    </row>
    <row r="3438" spans="1:2" x14ac:dyDescent="0.3">
      <c r="A3438" s="5" t="str">
        <f>HYPERLINK("http://www.eatonpowersource.com/products/configure/industrial%20valves/details/382309","382309")</f>
        <v>382309</v>
      </c>
      <c r="B3438" s="6" t="s">
        <v>3398</v>
      </c>
    </row>
    <row r="3439" spans="1:2" x14ac:dyDescent="0.3">
      <c r="A3439" s="7" t="str">
        <f>HYPERLINK("http://www.eatonpowersource.com/products/configure/industrial%20valves/details/387115","387115")</f>
        <v>387115</v>
      </c>
      <c r="B3439" s="8" t="s">
        <v>3399</v>
      </c>
    </row>
    <row r="3440" spans="1:2" x14ac:dyDescent="0.3">
      <c r="A3440" s="5" t="str">
        <f>HYPERLINK("http://www.eatonpowersource.com/products/configure/industrial%20valves/details/708144","708144")</f>
        <v>708144</v>
      </c>
      <c r="B3440" s="6" t="s">
        <v>3400</v>
      </c>
    </row>
    <row r="3441" spans="1:2" x14ac:dyDescent="0.3">
      <c r="A3441" s="7" t="str">
        <f>HYPERLINK("http://www.eatonpowersource.com/products/configure/industrial%20valves/details/708146","708146")</f>
        <v>708146</v>
      </c>
      <c r="B3441" s="8" t="s">
        <v>3401</v>
      </c>
    </row>
    <row r="3442" spans="1:2" x14ac:dyDescent="0.3">
      <c r="A3442" s="5" t="str">
        <f>HYPERLINK("http://www.eatonpowersource.com/products/configure/industrial%20valves/details/708148","708148")</f>
        <v>708148</v>
      </c>
      <c r="B3442" s="6" t="s">
        <v>3402</v>
      </c>
    </row>
    <row r="3443" spans="1:2" x14ac:dyDescent="0.3">
      <c r="A3443" s="7" t="str">
        <f>HYPERLINK("http://www.eatonpowersource.com/products/configure/industrial%20valves/details/708150","708150")</f>
        <v>708150</v>
      </c>
      <c r="B3443" s="8" t="s">
        <v>3403</v>
      </c>
    </row>
    <row r="3444" spans="1:2" x14ac:dyDescent="0.3">
      <c r="A3444" s="5" t="str">
        <f>HYPERLINK("http://www.eatonpowersource.com/products/configure/industrial%20valves/details/02-138250","02-138250")</f>
        <v>02-138250</v>
      </c>
      <c r="B3444" s="6" t="s">
        <v>3404</v>
      </c>
    </row>
    <row r="3445" spans="1:2" x14ac:dyDescent="0.3">
      <c r="A3445" s="7" t="str">
        <f>HYPERLINK("http://www.eatonpowersource.com/products/configure/industrial%20valves/details/02-414997","02-414997")</f>
        <v>02-414997</v>
      </c>
      <c r="B3445" s="8" t="s">
        <v>3405</v>
      </c>
    </row>
    <row r="3446" spans="1:2" x14ac:dyDescent="0.3">
      <c r="A3446" s="5" t="str">
        <f>HYPERLINK("http://www.eatonpowersource.com/products/configure/industrial%20valves/details/465451","465451")</f>
        <v>465451</v>
      </c>
      <c r="B3446" s="6" t="s">
        <v>3406</v>
      </c>
    </row>
    <row r="3447" spans="1:2" x14ac:dyDescent="0.3">
      <c r="A3447" s="7" t="str">
        <f>HYPERLINK("http://www.eatonpowersource.com/products/configure/industrial%20valves/details/465605","465605")</f>
        <v>465605</v>
      </c>
      <c r="B3447" s="8" t="s">
        <v>3407</v>
      </c>
    </row>
    <row r="3448" spans="1:2" x14ac:dyDescent="0.3">
      <c r="A3448" s="5" t="str">
        <f>HYPERLINK("http://www.eatonpowersource.com/products/configure/industrial%20valves/details/465606","465606")</f>
        <v>465606</v>
      </c>
      <c r="B3448" s="6" t="s">
        <v>3408</v>
      </c>
    </row>
    <row r="3449" spans="1:2" x14ac:dyDescent="0.3">
      <c r="A3449" s="7" t="str">
        <f>HYPERLINK("http://www.eatonpowersource.com/products/configure/industrial%20valves/details/626492","626492")</f>
        <v>626492</v>
      </c>
      <c r="B3449" s="8" t="s">
        <v>3409</v>
      </c>
    </row>
    <row r="3450" spans="1:2" x14ac:dyDescent="0.3">
      <c r="A3450" s="5" t="str">
        <f>HYPERLINK("http://www.eatonpowersource.com/products/configure/industrial%20valves/details/796121","796121")</f>
        <v>796121</v>
      </c>
      <c r="B3450" s="6" t="s">
        <v>3410</v>
      </c>
    </row>
    <row r="3451" spans="1:2" x14ac:dyDescent="0.3">
      <c r="A3451" s="7" t="str">
        <f>HYPERLINK("http://www.eatonpowersource.com/products/configure/industrial%20valves/details/796127","796127")</f>
        <v>796127</v>
      </c>
      <c r="B3451" s="8" t="s">
        <v>3411</v>
      </c>
    </row>
    <row r="3452" spans="1:2" x14ac:dyDescent="0.3">
      <c r="A3452" s="5" t="str">
        <f>HYPERLINK("http://www.eatonpowersource.com/products/configure/industrial%20valves/details/796129","796129")</f>
        <v>796129</v>
      </c>
      <c r="B3452" s="6" t="s">
        <v>3412</v>
      </c>
    </row>
    <row r="3453" spans="1:2" x14ac:dyDescent="0.3">
      <c r="A3453" s="7" t="str">
        <f>HYPERLINK("http://www.eatonpowersource.com/products/configure/industrial%20valves/details/796131","796131")</f>
        <v>796131</v>
      </c>
      <c r="B3453" s="8" t="s">
        <v>3413</v>
      </c>
    </row>
    <row r="3454" spans="1:2" x14ac:dyDescent="0.3">
      <c r="A3454" s="5" t="str">
        <f>HYPERLINK("http://www.eatonpowersource.com/products/configure/industrial%20valves/details/796133","796133")</f>
        <v>796133</v>
      </c>
      <c r="B3454" s="6" t="s">
        <v>3414</v>
      </c>
    </row>
    <row r="3455" spans="1:2" x14ac:dyDescent="0.3">
      <c r="A3455" s="7" t="str">
        <f>HYPERLINK("http://www.eatonpowersource.com/products/configure/industrial%20valves/details/796135","796135")</f>
        <v>796135</v>
      </c>
      <c r="B3455" s="8" t="s">
        <v>3415</v>
      </c>
    </row>
    <row r="3456" spans="1:2" x14ac:dyDescent="0.3">
      <c r="A3456" s="5" t="str">
        <f>HYPERLINK("http://www.eatonpowersource.com/products/configure/industrial%20valves/details/796137","796137")</f>
        <v>796137</v>
      </c>
      <c r="B3456" s="6" t="s">
        <v>3416</v>
      </c>
    </row>
    <row r="3457" spans="1:2" x14ac:dyDescent="0.3">
      <c r="A3457" s="7" t="str">
        <f>HYPERLINK("http://www.eatonpowersource.com/products/configure/industrial%20valves/details/859629","859629")</f>
        <v>859629</v>
      </c>
      <c r="B3457" s="8" t="s">
        <v>3417</v>
      </c>
    </row>
    <row r="3458" spans="1:2" x14ac:dyDescent="0.3">
      <c r="A3458" s="5" t="str">
        <f>HYPERLINK("http://www.eatonpowersource.com/products/configure/industrial%20valves/details/859832","859832")</f>
        <v>859832</v>
      </c>
      <c r="B3458" s="6" t="s">
        <v>3418</v>
      </c>
    </row>
    <row r="3459" spans="1:2" x14ac:dyDescent="0.3">
      <c r="A3459" s="7" t="str">
        <f>HYPERLINK("http://www.eatonpowersource.com/products/configure/industrial%20valves/details/870974","870974")</f>
        <v>870974</v>
      </c>
      <c r="B3459" s="8" t="s">
        <v>3419</v>
      </c>
    </row>
    <row r="3460" spans="1:2" x14ac:dyDescent="0.3">
      <c r="A3460" s="5" t="str">
        <f>HYPERLINK("http://www.eatonpowersource.com/products/configure/industrial%20valves/details/872015","872015")</f>
        <v>872015</v>
      </c>
      <c r="B3460" s="6" t="s">
        <v>3420</v>
      </c>
    </row>
    <row r="3461" spans="1:2" x14ac:dyDescent="0.3">
      <c r="A3461" s="7" t="str">
        <f>HYPERLINK("http://www.eatonpowersource.com/products/configure/industrial%20valves/details/02-108378","02-108378")</f>
        <v>02-108378</v>
      </c>
      <c r="B3461" s="8" t="s">
        <v>3421</v>
      </c>
    </row>
    <row r="3462" spans="1:2" x14ac:dyDescent="0.3">
      <c r="A3462" s="5" t="str">
        <f>HYPERLINK("http://www.eatonpowersource.com/products/configure/industrial%20valves/details/02-109552","02-109552")</f>
        <v>02-109552</v>
      </c>
      <c r="B3462" s="6" t="s">
        <v>3422</v>
      </c>
    </row>
    <row r="3463" spans="1:2" x14ac:dyDescent="0.3">
      <c r="A3463" s="7" t="str">
        <f>HYPERLINK("http://www.eatonpowersource.com/products/configure/industrial%20valves/details/02-138548","02-138548")</f>
        <v>02-138548</v>
      </c>
      <c r="B3463" s="8" t="s">
        <v>3423</v>
      </c>
    </row>
    <row r="3464" spans="1:2" x14ac:dyDescent="0.3">
      <c r="A3464" s="5" t="str">
        <f>HYPERLINK("http://www.eatonpowersource.com/products/configure/industrial%20valves/details/02-146799","02-146799")</f>
        <v>02-146799</v>
      </c>
      <c r="B3464" s="6" t="s">
        <v>3424</v>
      </c>
    </row>
    <row r="3465" spans="1:2" x14ac:dyDescent="0.3">
      <c r="A3465" s="7" t="str">
        <f>HYPERLINK("http://www.eatonpowersource.com/products/configure/industrial%20valves/details/02-323617","02-323617")</f>
        <v>02-323617</v>
      </c>
      <c r="B3465" s="8" t="s">
        <v>3425</v>
      </c>
    </row>
    <row r="3466" spans="1:2" x14ac:dyDescent="0.3">
      <c r="A3466" s="5" t="str">
        <f>HYPERLINK("http://www.eatonpowersource.com/products/configure/industrial%20valves/details/02-351587","02-351587")</f>
        <v>02-351587</v>
      </c>
      <c r="B3466" s="6" t="s">
        <v>3426</v>
      </c>
    </row>
    <row r="3467" spans="1:2" x14ac:dyDescent="0.3">
      <c r="A3467" s="7" t="str">
        <f>HYPERLINK("http://www.eatonpowersource.com/products/configure/industrial%20valves/details/358448","358448")</f>
        <v>358448</v>
      </c>
      <c r="B3467" s="8" t="s">
        <v>3427</v>
      </c>
    </row>
    <row r="3468" spans="1:2" x14ac:dyDescent="0.3">
      <c r="A3468" s="5" t="str">
        <f>HYPERLINK("http://www.eatonpowersource.com/products/configure/industrial%20valves/details/358458","358458")</f>
        <v>358458</v>
      </c>
      <c r="B3468" s="6" t="s">
        <v>3428</v>
      </c>
    </row>
    <row r="3469" spans="1:2" x14ac:dyDescent="0.3">
      <c r="A3469" s="7" t="str">
        <f>HYPERLINK("http://www.eatonpowersource.com/products/configure/industrial%20valves/details/407845","407845")</f>
        <v>407845</v>
      </c>
      <c r="B3469" s="8" t="s">
        <v>3429</v>
      </c>
    </row>
    <row r="3470" spans="1:2" x14ac:dyDescent="0.3">
      <c r="A3470" s="5" t="str">
        <f>HYPERLINK("http://www.eatonpowersource.com/products/configure/industrial%20valves/details/462599","462599")</f>
        <v>462599</v>
      </c>
      <c r="B3470" s="6" t="s">
        <v>3430</v>
      </c>
    </row>
    <row r="3471" spans="1:2" x14ac:dyDescent="0.3">
      <c r="A3471" s="7" t="str">
        <f>HYPERLINK("http://www.eatonpowersource.com/products/configure/industrial%20valves/details/462600","462600")</f>
        <v>462600</v>
      </c>
      <c r="B3471" s="8" t="s">
        <v>3431</v>
      </c>
    </row>
    <row r="3472" spans="1:2" x14ac:dyDescent="0.3">
      <c r="A3472" s="5" t="str">
        <f>HYPERLINK("http://www.eatonpowersource.com/products/configure/industrial%20valves/details/462608","462608")</f>
        <v>462608</v>
      </c>
      <c r="B3472" s="6" t="s">
        <v>3432</v>
      </c>
    </row>
    <row r="3473" spans="1:2" x14ac:dyDescent="0.3">
      <c r="A3473" s="7" t="str">
        <f>HYPERLINK("http://www.eatonpowersource.com/products/configure/industrial%20valves/details/462609","462609")</f>
        <v>462609</v>
      </c>
      <c r="B3473" s="8" t="s">
        <v>3433</v>
      </c>
    </row>
    <row r="3474" spans="1:2" x14ac:dyDescent="0.3">
      <c r="A3474" s="5" t="str">
        <f>HYPERLINK("http://www.eatonpowersource.com/products/configure/industrial%20valves/details/462612","462612")</f>
        <v>462612</v>
      </c>
      <c r="B3474" s="6" t="s">
        <v>3434</v>
      </c>
    </row>
    <row r="3475" spans="1:2" x14ac:dyDescent="0.3">
      <c r="A3475" s="7" t="str">
        <f>HYPERLINK("http://www.eatonpowersource.com/products/configure/industrial%20valves/details/462613","462613")</f>
        <v>462613</v>
      </c>
      <c r="B3475" s="8" t="s">
        <v>3435</v>
      </c>
    </row>
    <row r="3476" spans="1:2" x14ac:dyDescent="0.3">
      <c r="A3476" s="5" t="str">
        <f>HYPERLINK("http://www.eatonpowersource.com/products/configure/industrial%20valves/details/464135","464135")</f>
        <v>464135</v>
      </c>
      <c r="B3476" s="6" t="s">
        <v>3436</v>
      </c>
    </row>
    <row r="3477" spans="1:2" x14ac:dyDescent="0.3">
      <c r="A3477" s="7" t="str">
        <f>HYPERLINK("http://www.eatonpowersource.com/products/configure/industrial%20valves/details/464712","464712")</f>
        <v>464712</v>
      </c>
      <c r="B3477" s="8" t="s">
        <v>3437</v>
      </c>
    </row>
    <row r="3478" spans="1:2" x14ac:dyDescent="0.3">
      <c r="A3478" s="5" t="str">
        <f>HYPERLINK("http://www.eatonpowersource.com/products/configure/industrial%20valves/details/465196","465196")</f>
        <v>465196</v>
      </c>
      <c r="B3478" s="6" t="s">
        <v>3438</v>
      </c>
    </row>
    <row r="3479" spans="1:2" x14ac:dyDescent="0.3">
      <c r="A3479" s="7" t="str">
        <f>HYPERLINK("http://www.eatonpowersource.com/products/configure/industrial%20valves/details/465198","465198")</f>
        <v>465198</v>
      </c>
      <c r="B3479" s="8" t="s">
        <v>3439</v>
      </c>
    </row>
    <row r="3480" spans="1:2" x14ac:dyDescent="0.3">
      <c r="A3480" s="5" t="str">
        <f>HYPERLINK("http://www.eatonpowersource.com/products/configure/industrial%20valves/details/466457","466457")</f>
        <v>466457</v>
      </c>
      <c r="B3480" s="6" t="s">
        <v>3440</v>
      </c>
    </row>
    <row r="3481" spans="1:2" x14ac:dyDescent="0.3">
      <c r="A3481" s="7" t="str">
        <f>HYPERLINK("http://www.eatonpowersource.com/products/configure/industrial%20valves/details/507462","507462")</f>
        <v>507462</v>
      </c>
      <c r="B3481" s="8" t="s">
        <v>3441</v>
      </c>
    </row>
    <row r="3482" spans="1:2" x14ac:dyDescent="0.3">
      <c r="A3482" s="5" t="str">
        <f>HYPERLINK("http://www.eatonpowersource.com/products/configure/industrial%20valves/details/594206","594206")</f>
        <v>594206</v>
      </c>
      <c r="B3482" s="6" t="s">
        <v>3442</v>
      </c>
    </row>
    <row r="3483" spans="1:2" x14ac:dyDescent="0.3">
      <c r="A3483" s="7" t="str">
        <f>HYPERLINK("http://www.eatonpowersource.com/products/configure/industrial%20valves/details/614227","614227")</f>
        <v>614227</v>
      </c>
      <c r="B3483" s="8" t="s">
        <v>3443</v>
      </c>
    </row>
    <row r="3484" spans="1:2" x14ac:dyDescent="0.3">
      <c r="A3484" s="5" t="str">
        <f>HYPERLINK("http://www.eatonpowersource.com/products/configure/industrial%20valves/details/614374","614374")</f>
        <v>614374</v>
      </c>
      <c r="B3484" s="6" t="s">
        <v>3444</v>
      </c>
    </row>
    <row r="3485" spans="1:2" x14ac:dyDescent="0.3">
      <c r="A3485" s="7" t="str">
        <f>HYPERLINK("http://www.eatonpowersource.com/products/configure/industrial%20valves/details/616914","616914")</f>
        <v>616914</v>
      </c>
      <c r="B3485" s="8" t="s">
        <v>3445</v>
      </c>
    </row>
    <row r="3486" spans="1:2" x14ac:dyDescent="0.3">
      <c r="A3486" s="5" t="str">
        <f>HYPERLINK("http://www.eatonpowersource.com/products/configure/industrial%20valves/details/626495","626495")</f>
        <v>626495</v>
      </c>
      <c r="B3486" s="6" t="s">
        <v>3446</v>
      </c>
    </row>
    <row r="3487" spans="1:2" x14ac:dyDescent="0.3">
      <c r="A3487" s="7" t="str">
        <f>HYPERLINK("http://www.eatonpowersource.com/products/configure/industrial%20valves/details/639892","639892")</f>
        <v>639892</v>
      </c>
      <c r="B3487" s="8" t="s">
        <v>3447</v>
      </c>
    </row>
    <row r="3488" spans="1:2" x14ac:dyDescent="0.3">
      <c r="A3488" s="5" t="str">
        <f>HYPERLINK("http://www.eatonpowersource.com/products/configure/industrial%20valves/details/708318","708318")</f>
        <v>708318</v>
      </c>
      <c r="B3488" s="6" t="s">
        <v>3448</v>
      </c>
    </row>
    <row r="3489" spans="1:2" x14ac:dyDescent="0.3">
      <c r="A3489" s="7" t="str">
        <f>HYPERLINK("http://www.eatonpowersource.com/products/configure/industrial%20valves/details/760268","760268")</f>
        <v>760268</v>
      </c>
      <c r="B3489" s="8" t="s">
        <v>3449</v>
      </c>
    </row>
    <row r="3490" spans="1:2" x14ac:dyDescent="0.3">
      <c r="A3490" s="5" t="str">
        <f>HYPERLINK("http://www.eatonpowersource.com/products/configure/industrial%20valves/details/760324","760324")</f>
        <v>760324</v>
      </c>
      <c r="B3490" s="6" t="s">
        <v>3450</v>
      </c>
    </row>
    <row r="3491" spans="1:2" x14ac:dyDescent="0.3">
      <c r="A3491" s="7" t="str">
        <f>HYPERLINK("http://www.eatonpowersource.com/products/configure/industrial%20valves/details/760325","760325")</f>
        <v>760325</v>
      </c>
      <c r="B3491" s="8" t="s">
        <v>3451</v>
      </c>
    </row>
    <row r="3492" spans="1:2" x14ac:dyDescent="0.3">
      <c r="A3492" s="5" t="str">
        <f>HYPERLINK("http://www.eatonpowersource.com/products/configure/industrial%20valves/details/760326","760326")</f>
        <v>760326</v>
      </c>
      <c r="B3492" s="6" t="s">
        <v>3452</v>
      </c>
    </row>
    <row r="3493" spans="1:2" x14ac:dyDescent="0.3">
      <c r="A3493" s="7" t="str">
        <f>HYPERLINK("http://www.eatonpowersource.com/products/configure/industrial%20valves/details/859617","859617")</f>
        <v>859617</v>
      </c>
      <c r="B3493" s="8" t="s">
        <v>3453</v>
      </c>
    </row>
    <row r="3494" spans="1:2" x14ac:dyDescent="0.3">
      <c r="A3494" s="5" t="str">
        <f>HYPERLINK("http://www.eatonpowersource.com/products/configure/industrial%20valves/details/859618","859618")</f>
        <v>859618</v>
      </c>
      <c r="B3494" s="6" t="s">
        <v>3454</v>
      </c>
    </row>
    <row r="3495" spans="1:2" x14ac:dyDescent="0.3">
      <c r="A3495" s="7" t="str">
        <f>HYPERLINK("http://www.eatonpowersource.com/products/configure/industrial%20valves/details/859620","859620")</f>
        <v>859620</v>
      </c>
      <c r="B3495" s="8" t="s">
        <v>3455</v>
      </c>
    </row>
    <row r="3496" spans="1:2" x14ac:dyDescent="0.3">
      <c r="A3496" s="5" t="str">
        <f>HYPERLINK("http://www.eatonpowersource.com/products/configure/industrial%20valves/details/859621","859621")</f>
        <v>859621</v>
      </c>
      <c r="B3496" s="6" t="s">
        <v>3456</v>
      </c>
    </row>
    <row r="3497" spans="1:2" x14ac:dyDescent="0.3">
      <c r="A3497" s="7" t="str">
        <f>HYPERLINK("http://www.eatonpowersource.com/products/configure/industrial%20valves/details/859623","859623")</f>
        <v>859623</v>
      </c>
      <c r="B3497" s="8" t="s">
        <v>3457</v>
      </c>
    </row>
    <row r="3498" spans="1:2" x14ac:dyDescent="0.3">
      <c r="A3498" s="5" t="str">
        <f>HYPERLINK("http://www.eatonpowersource.com/products/configure/industrial%20valves/details/859624","859624")</f>
        <v>859624</v>
      </c>
      <c r="B3498" s="6" t="s">
        <v>3458</v>
      </c>
    </row>
    <row r="3499" spans="1:2" x14ac:dyDescent="0.3">
      <c r="A3499" s="7" t="str">
        <f>HYPERLINK("http://www.eatonpowersource.com/products/configure/industrial%20valves/details/870110","870110")</f>
        <v>870110</v>
      </c>
      <c r="B3499" s="8" t="s">
        <v>3459</v>
      </c>
    </row>
    <row r="3500" spans="1:2" x14ac:dyDescent="0.3">
      <c r="A3500" s="5" t="str">
        <f>HYPERLINK("http://www.eatonpowersource.com/products/configure/industrial%20valves/details/870786","870786")</f>
        <v>870786</v>
      </c>
      <c r="B3500" s="6" t="s">
        <v>3460</v>
      </c>
    </row>
    <row r="3501" spans="1:2" x14ac:dyDescent="0.3">
      <c r="A3501" s="7" t="str">
        <f>HYPERLINK("http://www.eatonpowersource.com/products/configure/industrial%20valves/details/871490","871490")</f>
        <v>871490</v>
      </c>
      <c r="B3501" s="8" t="s">
        <v>3461</v>
      </c>
    </row>
    <row r="3502" spans="1:2" x14ac:dyDescent="0.3">
      <c r="A3502" s="5" t="str">
        <f>HYPERLINK("http://www.eatonpowersource.com/products/configure/industrial%20valves/details/871721","871721")</f>
        <v>871721</v>
      </c>
      <c r="B3502" s="6" t="s">
        <v>3462</v>
      </c>
    </row>
    <row r="3503" spans="1:2" x14ac:dyDescent="0.3">
      <c r="A3503" s="7" t="str">
        <f>HYPERLINK("http://www.eatonpowersource.com/products/configure/industrial%20valves/details/871824","871824")</f>
        <v>871824</v>
      </c>
      <c r="B3503" s="8" t="s">
        <v>3463</v>
      </c>
    </row>
    <row r="3504" spans="1:2" x14ac:dyDescent="0.3">
      <c r="A3504" s="5" t="str">
        <f>HYPERLINK("http://www.eatonpowersource.com/products/configure/industrial%20valves/details/871888","871888")</f>
        <v>871888</v>
      </c>
      <c r="B3504" s="6" t="s">
        <v>3464</v>
      </c>
    </row>
    <row r="3505" spans="1:2" x14ac:dyDescent="0.3">
      <c r="A3505" s="7" t="str">
        <f>HYPERLINK("http://www.eatonpowersource.com/products/configure/industrial%20valves/details/871976","871976")</f>
        <v>871976</v>
      </c>
      <c r="B3505" s="8" t="s">
        <v>3465</v>
      </c>
    </row>
    <row r="3506" spans="1:2" x14ac:dyDescent="0.3">
      <c r="A3506" s="5" t="str">
        <f>HYPERLINK("http://www.eatonpowersource.com/products/configure/industrial%20valves/details/976895","976895")</f>
        <v>976895</v>
      </c>
      <c r="B3506" s="6" t="s">
        <v>3466</v>
      </c>
    </row>
    <row r="3507" spans="1:2" x14ac:dyDescent="0.3">
      <c r="A3507" s="7" t="str">
        <f>HYPERLINK("http://www.eatonpowersource.com/products/configure/industrial%20valves/details/984205","984205")</f>
        <v>984205</v>
      </c>
      <c r="B3507" s="8" t="s">
        <v>3467</v>
      </c>
    </row>
    <row r="3508" spans="1:2" x14ac:dyDescent="0.3">
      <c r="A3508" s="5" t="str">
        <f>HYPERLINK("http://www.eatonpowersource.com/products/configure/industrial%20valves/details/985790","985790")</f>
        <v>985790</v>
      </c>
      <c r="B3508" s="6" t="s">
        <v>3468</v>
      </c>
    </row>
    <row r="3509" spans="1:2" x14ac:dyDescent="0.3">
      <c r="A3509" s="7" t="str">
        <f>HYPERLINK("http://www.eatonpowersource.com/products/configure/industrial%20valves/details/985849","985849")</f>
        <v>985849</v>
      </c>
      <c r="B3509" s="8" t="s">
        <v>3469</v>
      </c>
    </row>
    <row r="3510" spans="1:2" x14ac:dyDescent="0.3">
      <c r="A3510" s="5" t="str">
        <f>HYPERLINK("http://www.eatonpowersource.com/products/configure/industrial%20valves/details/985852","985852")</f>
        <v>985852</v>
      </c>
      <c r="B3510" s="6" t="s">
        <v>3470</v>
      </c>
    </row>
    <row r="3511" spans="1:2" x14ac:dyDescent="0.3">
      <c r="A3511" s="7" t="str">
        <f>HYPERLINK("http://www.eatonpowersource.com/products/configure/industrial%20valves/details/02-353409","02-353409")</f>
        <v>02-353409</v>
      </c>
      <c r="B3511" s="8" t="s">
        <v>3471</v>
      </c>
    </row>
    <row r="3512" spans="1:2" x14ac:dyDescent="0.3">
      <c r="A3512" s="5" t="str">
        <f>HYPERLINK("http://www.eatonpowersource.com/products/configure/industrial%20valves/details/615036","615036")</f>
        <v>615036</v>
      </c>
      <c r="B3512" s="6" t="s">
        <v>3472</v>
      </c>
    </row>
    <row r="3513" spans="1:2" x14ac:dyDescent="0.3">
      <c r="A3513" s="7" t="str">
        <f>HYPERLINK("http://www.eatonpowersource.com/products/configure/industrial%20valves/details/615037","615037")</f>
        <v>615037</v>
      </c>
      <c r="B3513" s="8" t="s">
        <v>3473</v>
      </c>
    </row>
    <row r="3514" spans="1:2" x14ac:dyDescent="0.3">
      <c r="A3514" s="5" t="str">
        <f>HYPERLINK("http://www.eatonpowersource.com/products/configure/industrial%20valves/details/615038","615038")</f>
        <v>615038</v>
      </c>
      <c r="B3514" s="6" t="s">
        <v>3474</v>
      </c>
    </row>
    <row r="3515" spans="1:2" x14ac:dyDescent="0.3">
      <c r="A3515" s="7" t="str">
        <f>HYPERLINK("http://www.eatonpowersource.com/products/configure/industrial%20valves/details/615039","615039")</f>
        <v>615039</v>
      </c>
      <c r="B3515" s="8" t="s">
        <v>3475</v>
      </c>
    </row>
    <row r="3516" spans="1:2" x14ac:dyDescent="0.3">
      <c r="A3516" s="5" t="str">
        <f>HYPERLINK("http://www.eatonpowersource.com/products/configure/industrial%20valves/details/615040","615040")</f>
        <v>615040</v>
      </c>
      <c r="B3516" s="6" t="s">
        <v>3476</v>
      </c>
    </row>
    <row r="3517" spans="1:2" x14ac:dyDescent="0.3">
      <c r="A3517" s="7" t="str">
        <f>HYPERLINK("http://www.eatonpowersource.com/products/configure/industrial%20valves/details/615041","615041")</f>
        <v>615041</v>
      </c>
      <c r="B3517" s="8" t="s">
        <v>3477</v>
      </c>
    </row>
    <row r="3518" spans="1:2" x14ac:dyDescent="0.3">
      <c r="A3518" s="5" t="str">
        <f>HYPERLINK("http://www.eatonpowersource.com/products/configure/industrial%20valves/details/615042","615042")</f>
        <v>615042</v>
      </c>
      <c r="B3518" s="6" t="s">
        <v>3478</v>
      </c>
    </row>
    <row r="3519" spans="1:2" x14ac:dyDescent="0.3">
      <c r="A3519" s="7" t="str">
        <f>HYPERLINK("http://www.eatonpowersource.com/products/configure/industrial%20valves/details/615043","615043")</f>
        <v>615043</v>
      </c>
      <c r="B3519" s="8" t="s">
        <v>3479</v>
      </c>
    </row>
    <row r="3520" spans="1:2" x14ac:dyDescent="0.3">
      <c r="A3520" s="5" t="str">
        <f>HYPERLINK("http://www.eatonpowersource.com/products/configure/industrial%20valves/details/615044","615044")</f>
        <v>615044</v>
      </c>
      <c r="B3520" s="6" t="s">
        <v>3480</v>
      </c>
    </row>
    <row r="3521" spans="1:2" x14ac:dyDescent="0.3">
      <c r="A3521" s="7" t="str">
        <f>HYPERLINK("http://www.eatonpowersource.com/products/configure/industrial%20valves/details/615045","615045")</f>
        <v>615045</v>
      </c>
      <c r="B3521" s="8" t="s">
        <v>3481</v>
      </c>
    </row>
    <row r="3522" spans="1:2" x14ac:dyDescent="0.3">
      <c r="A3522" s="5" t="str">
        <f>HYPERLINK("http://www.eatonpowersource.com/products/configure/industrial%20valves/details/615046","615046")</f>
        <v>615046</v>
      </c>
      <c r="B3522" s="6" t="s">
        <v>3482</v>
      </c>
    </row>
    <row r="3523" spans="1:2" x14ac:dyDescent="0.3">
      <c r="A3523" s="7" t="str">
        <f>HYPERLINK("http://www.eatonpowersource.com/products/configure/industrial%20valves/details/615047","615047")</f>
        <v>615047</v>
      </c>
      <c r="B3523" s="8" t="s">
        <v>3483</v>
      </c>
    </row>
    <row r="3524" spans="1:2" x14ac:dyDescent="0.3">
      <c r="A3524" s="5" t="str">
        <f>HYPERLINK("http://www.eatonpowersource.com/products/configure/industrial%20valves/details/615069","615069")</f>
        <v>615069</v>
      </c>
      <c r="B3524" s="6" t="s">
        <v>3484</v>
      </c>
    </row>
    <row r="3525" spans="1:2" x14ac:dyDescent="0.3">
      <c r="A3525" s="7" t="str">
        <f>HYPERLINK("http://www.eatonpowersource.com/products/configure/industrial%20valves/details/615070","615070")</f>
        <v>615070</v>
      </c>
      <c r="B3525" s="8" t="s">
        <v>3485</v>
      </c>
    </row>
    <row r="3526" spans="1:2" x14ac:dyDescent="0.3">
      <c r="A3526" s="5" t="str">
        <f>HYPERLINK("http://www.eatonpowersource.com/products/configure/industrial%20valves/details/615071","615071")</f>
        <v>615071</v>
      </c>
      <c r="B3526" s="6" t="s">
        <v>3486</v>
      </c>
    </row>
    <row r="3527" spans="1:2" x14ac:dyDescent="0.3">
      <c r="A3527" s="7" t="str">
        <f>HYPERLINK("http://www.eatonpowersource.com/products/configure/industrial%20valves/details/615072","615072")</f>
        <v>615072</v>
      </c>
      <c r="B3527" s="8" t="s">
        <v>3487</v>
      </c>
    </row>
    <row r="3528" spans="1:2" x14ac:dyDescent="0.3">
      <c r="A3528" s="5" t="str">
        <f>HYPERLINK("http://www.eatonpowersource.com/products/configure/industrial%20valves/details/615073","615073")</f>
        <v>615073</v>
      </c>
      <c r="B3528" s="6" t="s">
        <v>3488</v>
      </c>
    </row>
    <row r="3529" spans="1:2" x14ac:dyDescent="0.3">
      <c r="A3529" s="7" t="str">
        <f>HYPERLINK("http://www.eatonpowersource.com/products/configure/industrial%20valves/details/615074","615074")</f>
        <v>615074</v>
      </c>
      <c r="B3529" s="8" t="s">
        <v>3489</v>
      </c>
    </row>
    <row r="3530" spans="1:2" x14ac:dyDescent="0.3">
      <c r="A3530" s="5" t="str">
        <f>HYPERLINK("http://www.eatonpowersource.com/products/configure/industrial%20valves/details/615075","615075")</f>
        <v>615075</v>
      </c>
      <c r="B3530" s="6" t="s">
        <v>3490</v>
      </c>
    </row>
    <row r="3531" spans="1:2" x14ac:dyDescent="0.3">
      <c r="A3531" s="7" t="str">
        <f>HYPERLINK("http://www.eatonpowersource.com/products/configure/industrial%20valves/details/615076","615076")</f>
        <v>615076</v>
      </c>
      <c r="B3531" s="8" t="s">
        <v>3491</v>
      </c>
    </row>
    <row r="3532" spans="1:2" x14ac:dyDescent="0.3">
      <c r="A3532" s="5" t="str">
        <f>HYPERLINK("http://www.eatonpowersource.com/products/configure/industrial%20valves/details/615077","615077")</f>
        <v>615077</v>
      </c>
      <c r="B3532" s="6" t="s">
        <v>3492</v>
      </c>
    </row>
    <row r="3533" spans="1:2" x14ac:dyDescent="0.3">
      <c r="A3533" s="7" t="str">
        <f>HYPERLINK("http://www.eatonpowersource.com/products/configure/industrial%20valves/details/615078","615078")</f>
        <v>615078</v>
      </c>
      <c r="B3533" s="8" t="s">
        <v>3493</v>
      </c>
    </row>
    <row r="3534" spans="1:2" x14ac:dyDescent="0.3">
      <c r="A3534" s="5" t="str">
        <f>HYPERLINK("http://www.eatonpowersource.com/products/configure/industrial%20valves/details/615079","615079")</f>
        <v>615079</v>
      </c>
      <c r="B3534" s="6" t="s">
        <v>3494</v>
      </c>
    </row>
    <row r="3535" spans="1:2" x14ac:dyDescent="0.3">
      <c r="A3535" s="7" t="str">
        <f>HYPERLINK("http://www.eatonpowersource.com/products/configure/industrial%20valves/details/615080","615080")</f>
        <v>615080</v>
      </c>
      <c r="B3535" s="8" t="s">
        <v>3495</v>
      </c>
    </row>
    <row r="3536" spans="1:2" x14ac:dyDescent="0.3">
      <c r="A3536" s="5" t="str">
        <f>HYPERLINK("http://www.eatonpowersource.com/products/configure/industrial%20valves/details/02-109334","02-109334")</f>
        <v>02-109334</v>
      </c>
      <c r="B3536" s="6" t="s">
        <v>3496</v>
      </c>
    </row>
    <row r="3537" spans="1:2" x14ac:dyDescent="0.3">
      <c r="A3537" s="7" t="str">
        <f>HYPERLINK("http://www.eatonpowersource.com/products/configure/industrial%20valves/details/02-109337","02-109337")</f>
        <v>02-109337</v>
      </c>
      <c r="B3537" s="8" t="s">
        <v>3497</v>
      </c>
    </row>
    <row r="3538" spans="1:2" x14ac:dyDescent="0.3">
      <c r="A3538" s="5" t="str">
        <f>HYPERLINK("http://www.eatonpowersource.com/products/configure/industrial%20valves/details/02-109339","02-109339")</f>
        <v>02-109339</v>
      </c>
      <c r="B3538" s="6" t="s">
        <v>3498</v>
      </c>
    </row>
    <row r="3539" spans="1:2" x14ac:dyDescent="0.3">
      <c r="A3539" s="7" t="str">
        <f>HYPERLINK("http://www.eatonpowersource.com/products/configure/industrial%20valves/details/02-109340","02-109340")</f>
        <v>02-109340</v>
      </c>
      <c r="B3539" s="8" t="s">
        <v>3499</v>
      </c>
    </row>
    <row r="3540" spans="1:2" x14ac:dyDescent="0.3">
      <c r="A3540" s="5" t="str">
        <f>HYPERLINK("http://www.eatonpowersource.com/products/configure/industrial%20valves/details/02-109445","02-109445")</f>
        <v>02-109445</v>
      </c>
      <c r="B3540" s="6" t="s">
        <v>3500</v>
      </c>
    </row>
    <row r="3541" spans="1:2" x14ac:dyDescent="0.3">
      <c r="A3541" s="7" t="str">
        <f>HYPERLINK("http://www.eatonpowersource.com/products/configure/industrial%20valves/details/02-109448","02-109448")</f>
        <v>02-109448</v>
      </c>
      <c r="B3541" s="8" t="s">
        <v>3501</v>
      </c>
    </row>
    <row r="3542" spans="1:2" x14ac:dyDescent="0.3">
      <c r="A3542" s="5" t="str">
        <f>HYPERLINK("http://www.eatonpowersource.com/products/configure/industrial%20valves/details/02-109882","02-109882")</f>
        <v>02-109882</v>
      </c>
      <c r="B3542" s="6" t="s">
        <v>3502</v>
      </c>
    </row>
    <row r="3543" spans="1:2" x14ac:dyDescent="0.3">
      <c r="A3543" s="7" t="str">
        <f>HYPERLINK("http://www.eatonpowersource.com/products/configure/industrial%20valves/details/02-109906","02-109906")</f>
        <v>02-109906</v>
      </c>
      <c r="B3543" s="8" t="s">
        <v>3503</v>
      </c>
    </row>
    <row r="3544" spans="1:2" x14ac:dyDescent="0.3">
      <c r="A3544" s="5" t="str">
        <f>HYPERLINK("http://www.eatonpowersource.com/products/configure/industrial%20valves/details/02-110075","02-110075")</f>
        <v>02-110075</v>
      </c>
      <c r="B3544" s="6" t="s">
        <v>3504</v>
      </c>
    </row>
    <row r="3545" spans="1:2" x14ac:dyDescent="0.3">
      <c r="A3545" s="7" t="str">
        <f>HYPERLINK("http://www.eatonpowersource.com/products/configure/industrial%20valves/details/02-110565","02-110565")</f>
        <v>02-110565</v>
      </c>
      <c r="B3545" s="8" t="s">
        <v>3505</v>
      </c>
    </row>
    <row r="3546" spans="1:2" x14ac:dyDescent="0.3">
      <c r="A3546" s="5" t="str">
        <f>HYPERLINK("http://www.eatonpowersource.com/products/configure/industrial%20valves/details/02-110584","02-110584")</f>
        <v>02-110584</v>
      </c>
      <c r="B3546" s="6" t="s">
        <v>3506</v>
      </c>
    </row>
    <row r="3547" spans="1:2" x14ac:dyDescent="0.3">
      <c r="A3547" s="7" t="str">
        <f>HYPERLINK("http://www.eatonpowersource.com/products/configure/industrial%20valves/details/02-110665","02-110665")</f>
        <v>02-110665</v>
      </c>
      <c r="B3547" s="8" t="s">
        <v>3507</v>
      </c>
    </row>
    <row r="3548" spans="1:2" x14ac:dyDescent="0.3">
      <c r="A3548" s="5" t="str">
        <f>HYPERLINK("http://www.eatonpowersource.com/products/configure/industrial%20valves/details/02-110670","02-110670")</f>
        <v>02-110670</v>
      </c>
      <c r="B3548" s="6" t="s">
        <v>3508</v>
      </c>
    </row>
    <row r="3549" spans="1:2" x14ac:dyDescent="0.3">
      <c r="A3549" s="7" t="str">
        <f>HYPERLINK("http://www.eatonpowersource.com/products/configure/industrial%20valves/details/02-110789","02-110789")</f>
        <v>02-110789</v>
      </c>
      <c r="B3549" s="8" t="s">
        <v>3509</v>
      </c>
    </row>
    <row r="3550" spans="1:2" x14ac:dyDescent="0.3">
      <c r="A3550" s="5" t="str">
        <f>HYPERLINK("http://www.eatonpowersource.com/products/configure/industrial%20valves/details/02-110790","02-110790")</f>
        <v>02-110790</v>
      </c>
      <c r="B3550" s="6" t="s">
        <v>3510</v>
      </c>
    </row>
    <row r="3551" spans="1:2" x14ac:dyDescent="0.3">
      <c r="A3551" s="7" t="str">
        <f>HYPERLINK("http://www.eatonpowersource.com/products/configure/industrial%20valves/details/02-110791","02-110791")</f>
        <v>02-110791</v>
      </c>
      <c r="B3551" s="8" t="s">
        <v>3511</v>
      </c>
    </row>
    <row r="3552" spans="1:2" x14ac:dyDescent="0.3">
      <c r="A3552" s="5" t="str">
        <f>HYPERLINK("http://www.eatonpowersource.com/products/configure/industrial%20valves/details/02-110792","02-110792")</f>
        <v>02-110792</v>
      </c>
      <c r="B3552" s="6" t="s">
        <v>3512</v>
      </c>
    </row>
    <row r="3553" spans="1:2" x14ac:dyDescent="0.3">
      <c r="A3553" s="7" t="str">
        <f>HYPERLINK("http://www.eatonpowersource.com/products/configure/industrial%20valves/details/02-110793","02-110793")</f>
        <v>02-110793</v>
      </c>
      <c r="B3553" s="8" t="s">
        <v>3513</v>
      </c>
    </row>
    <row r="3554" spans="1:2" x14ac:dyDescent="0.3">
      <c r="A3554" s="5" t="str">
        <f>HYPERLINK("http://www.eatonpowersource.com/products/configure/industrial%20valves/details/02-110794","02-110794")</f>
        <v>02-110794</v>
      </c>
      <c r="B3554" s="6" t="s">
        <v>3514</v>
      </c>
    </row>
    <row r="3555" spans="1:2" x14ac:dyDescent="0.3">
      <c r="A3555" s="7" t="str">
        <f>HYPERLINK("http://www.eatonpowersource.com/products/configure/industrial%20valves/details/02-110795","02-110795")</f>
        <v>02-110795</v>
      </c>
      <c r="B3555" s="8" t="s">
        <v>3515</v>
      </c>
    </row>
    <row r="3556" spans="1:2" x14ac:dyDescent="0.3">
      <c r="A3556" s="5" t="str">
        <f>HYPERLINK("http://www.eatonpowersource.com/products/configure/industrial%20valves/details/02-110796","02-110796")</f>
        <v>02-110796</v>
      </c>
      <c r="B3556" s="6" t="s">
        <v>3516</v>
      </c>
    </row>
    <row r="3557" spans="1:2" x14ac:dyDescent="0.3">
      <c r="A3557" s="7" t="str">
        <f>HYPERLINK("http://www.eatonpowersource.com/products/configure/industrial%20valves/details/02-110799","02-110799")</f>
        <v>02-110799</v>
      </c>
      <c r="B3557" s="8" t="s">
        <v>3517</v>
      </c>
    </row>
    <row r="3558" spans="1:2" x14ac:dyDescent="0.3">
      <c r="A3558" s="5" t="str">
        <f>HYPERLINK("http://www.eatonpowersource.com/products/configure/industrial%20valves/details/02-110804","02-110804")</f>
        <v>02-110804</v>
      </c>
      <c r="B3558" s="6" t="s">
        <v>3518</v>
      </c>
    </row>
    <row r="3559" spans="1:2" x14ac:dyDescent="0.3">
      <c r="A3559" s="7" t="str">
        <f>HYPERLINK("http://www.eatonpowersource.com/products/configure/industrial%20valves/details/02-110807","02-110807")</f>
        <v>02-110807</v>
      </c>
      <c r="B3559" s="8" t="s">
        <v>3519</v>
      </c>
    </row>
    <row r="3560" spans="1:2" x14ac:dyDescent="0.3">
      <c r="A3560" s="5" t="str">
        <f>HYPERLINK("http://www.eatonpowersource.com/products/configure/industrial%20valves/details/02-110808","02-110808")</f>
        <v>02-110808</v>
      </c>
      <c r="B3560" s="6" t="s">
        <v>3520</v>
      </c>
    </row>
    <row r="3561" spans="1:2" x14ac:dyDescent="0.3">
      <c r="A3561" s="7" t="str">
        <f>HYPERLINK("http://www.eatonpowersource.com/products/configure/industrial%20valves/details/02-110809","02-110809")</f>
        <v>02-110809</v>
      </c>
      <c r="B3561" s="8" t="s">
        <v>3521</v>
      </c>
    </row>
    <row r="3562" spans="1:2" x14ac:dyDescent="0.3">
      <c r="A3562" s="5" t="str">
        <f>HYPERLINK("http://www.eatonpowersource.com/products/configure/industrial%20valves/details/02-110814","02-110814")</f>
        <v>02-110814</v>
      </c>
      <c r="B3562" s="6" t="s">
        <v>3522</v>
      </c>
    </row>
    <row r="3563" spans="1:2" x14ac:dyDescent="0.3">
      <c r="A3563" s="7" t="str">
        <f>HYPERLINK("http://www.eatonpowersource.com/products/configure/industrial%20valves/details/02-110817","02-110817")</f>
        <v>02-110817</v>
      </c>
      <c r="B3563" s="8" t="s">
        <v>3523</v>
      </c>
    </row>
    <row r="3564" spans="1:2" x14ac:dyDescent="0.3">
      <c r="A3564" s="5" t="str">
        <f>HYPERLINK("http://www.eatonpowersource.com/products/configure/industrial%20valves/details/02-110821","02-110821")</f>
        <v>02-110821</v>
      </c>
      <c r="B3564" s="6" t="s">
        <v>3524</v>
      </c>
    </row>
    <row r="3565" spans="1:2" x14ac:dyDescent="0.3">
      <c r="A3565" s="7" t="str">
        <f>HYPERLINK("http://www.eatonpowersource.com/products/configure/industrial%20valves/details/02-110822","02-110822")</f>
        <v>02-110822</v>
      </c>
      <c r="B3565" s="8" t="s">
        <v>3525</v>
      </c>
    </row>
    <row r="3566" spans="1:2" x14ac:dyDescent="0.3">
      <c r="A3566" s="5" t="str">
        <f>HYPERLINK("http://www.eatonpowersource.com/products/configure/industrial%20valves/details/02-110823","02-110823")</f>
        <v>02-110823</v>
      </c>
      <c r="B3566" s="6" t="s">
        <v>3526</v>
      </c>
    </row>
    <row r="3567" spans="1:2" x14ac:dyDescent="0.3">
      <c r="A3567" s="7" t="str">
        <f>HYPERLINK("http://www.eatonpowersource.com/products/configure/industrial%20valves/details/02-110824","02-110824")</f>
        <v>02-110824</v>
      </c>
      <c r="B3567" s="8" t="s">
        <v>3527</v>
      </c>
    </row>
    <row r="3568" spans="1:2" x14ac:dyDescent="0.3">
      <c r="A3568" s="5" t="str">
        <f>HYPERLINK("http://www.eatonpowersource.com/products/configure/industrial%20valves/details/02-110830","02-110830")</f>
        <v>02-110830</v>
      </c>
      <c r="B3568" s="6" t="s">
        <v>3528</v>
      </c>
    </row>
    <row r="3569" spans="1:2" x14ac:dyDescent="0.3">
      <c r="A3569" s="7" t="str">
        <f>HYPERLINK("http://www.eatonpowersource.com/products/configure/industrial%20valves/details/02-110833","02-110833")</f>
        <v>02-110833</v>
      </c>
      <c r="B3569" s="8" t="s">
        <v>3529</v>
      </c>
    </row>
    <row r="3570" spans="1:2" x14ac:dyDescent="0.3">
      <c r="A3570" s="5" t="str">
        <f>HYPERLINK("http://www.eatonpowersource.com/products/configure/industrial%20valves/details/02-110834","02-110834")</f>
        <v>02-110834</v>
      </c>
      <c r="B3570" s="6" t="s">
        <v>3530</v>
      </c>
    </row>
    <row r="3571" spans="1:2" x14ac:dyDescent="0.3">
      <c r="A3571" s="7" t="str">
        <f>HYPERLINK("http://www.eatonpowersource.com/products/configure/industrial%20valves/details/02-137724","02-137724")</f>
        <v>02-137724</v>
      </c>
      <c r="B3571" s="8" t="s">
        <v>3531</v>
      </c>
    </row>
    <row r="3572" spans="1:2" x14ac:dyDescent="0.3">
      <c r="A3572" s="5" t="str">
        <f>HYPERLINK("http://www.eatonpowersource.com/products/configure/industrial%20valves/details/02-137726","02-137726")</f>
        <v>02-137726</v>
      </c>
      <c r="B3572" s="6" t="s">
        <v>3532</v>
      </c>
    </row>
    <row r="3573" spans="1:2" x14ac:dyDescent="0.3">
      <c r="A3573" s="7" t="str">
        <f>HYPERLINK("http://www.eatonpowersource.com/products/configure/industrial%20valves/details/02-137748","02-137748")</f>
        <v>02-137748</v>
      </c>
      <c r="B3573" s="8" t="s">
        <v>3533</v>
      </c>
    </row>
    <row r="3574" spans="1:2" x14ac:dyDescent="0.3">
      <c r="A3574" s="5" t="str">
        <f>HYPERLINK("http://www.eatonpowersource.com/products/configure/industrial%20valves/details/02-137856","02-137856")</f>
        <v>02-137856</v>
      </c>
      <c r="B3574" s="6" t="s">
        <v>3534</v>
      </c>
    </row>
    <row r="3575" spans="1:2" x14ac:dyDescent="0.3">
      <c r="A3575" s="7" t="str">
        <f>HYPERLINK("http://www.eatonpowersource.com/products/configure/industrial%20valves/details/02-137978","02-137978")</f>
        <v>02-137978</v>
      </c>
      <c r="B3575" s="8" t="s">
        <v>3535</v>
      </c>
    </row>
    <row r="3576" spans="1:2" x14ac:dyDescent="0.3">
      <c r="A3576" s="5" t="str">
        <f>HYPERLINK("http://www.eatonpowersource.com/products/configure/industrial%20valves/details/02-138040","02-138040")</f>
        <v>02-138040</v>
      </c>
      <c r="B3576" s="6" t="s">
        <v>3536</v>
      </c>
    </row>
    <row r="3577" spans="1:2" x14ac:dyDescent="0.3">
      <c r="A3577" s="7" t="str">
        <f>HYPERLINK("http://www.eatonpowersource.com/products/configure/industrial%20valves/details/02-138042","02-138042")</f>
        <v>02-138042</v>
      </c>
      <c r="B3577" s="8" t="s">
        <v>3537</v>
      </c>
    </row>
    <row r="3578" spans="1:2" x14ac:dyDescent="0.3">
      <c r="A3578" s="5" t="str">
        <f>HYPERLINK("http://www.eatonpowersource.com/products/configure/industrial%20valves/details/02-138096","02-138096")</f>
        <v>02-138096</v>
      </c>
      <c r="B3578" s="6" t="s">
        <v>3538</v>
      </c>
    </row>
    <row r="3579" spans="1:2" x14ac:dyDescent="0.3">
      <c r="A3579" s="7" t="str">
        <f>HYPERLINK("http://www.eatonpowersource.com/products/configure/industrial%20valves/details/02-138119","02-138119")</f>
        <v>02-138119</v>
      </c>
      <c r="B3579" s="8" t="s">
        <v>3539</v>
      </c>
    </row>
    <row r="3580" spans="1:2" x14ac:dyDescent="0.3">
      <c r="A3580" s="5" t="str">
        <f>HYPERLINK("http://www.eatonpowersource.com/products/configure/industrial%20valves/details/02-138141","02-138141")</f>
        <v>02-138141</v>
      </c>
      <c r="B3580" s="6" t="s">
        <v>3540</v>
      </c>
    </row>
    <row r="3581" spans="1:2" x14ac:dyDescent="0.3">
      <c r="A3581" s="7" t="str">
        <f>HYPERLINK("http://www.eatonpowersource.com/products/configure/industrial%20valves/details/02-138220","02-138220")</f>
        <v>02-138220</v>
      </c>
      <c r="B3581" s="8" t="s">
        <v>3541</v>
      </c>
    </row>
    <row r="3582" spans="1:2" x14ac:dyDescent="0.3">
      <c r="A3582" s="5" t="str">
        <f>HYPERLINK("http://www.eatonpowersource.com/products/configure/industrial%20valves/details/02-138247","02-138247")</f>
        <v>02-138247</v>
      </c>
      <c r="B3582" s="6" t="s">
        <v>3542</v>
      </c>
    </row>
    <row r="3583" spans="1:2" x14ac:dyDescent="0.3">
      <c r="A3583" s="7" t="str">
        <f>HYPERLINK("http://www.eatonpowersource.com/products/configure/industrial%20valves/details/02-138278","02-138278")</f>
        <v>02-138278</v>
      </c>
      <c r="B3583" s="8" t="s">
        <v>3543</v>
      </c>
    </row>
    <row r="3584" spans="1:2" x14ac:dyDescent="0.3">
      <c r="A3584" s="5" t="str">
        <f>HYPERLINK("http://www.eatonpowersource.com/products/configure/industrial%20valves/details/02-138279","02-138279")</f>
        <v>02-138279</v>
      </c>
      <c r="B3584" s="6" t="s">
        <v>3544</v>
      </c>
    </row>
    <row r="3585" spans="1:2" x14ac:dyDescent="0.3">
      <c r="A3585" s="7" t="str">
        <f>HYPERLINK("http://www.eatonpowersource.com/products/configure/industrial%20valves/details/02-138285","02-138285")</f>
        <v>02-138285</v>
      </c>
      <c r="B3585" s="8" t="s">
        <v>3545</v>
      </c>
    </row>
    <row r="3586" spans="1:2" x14ac:dyDescent="0.3">
      <c r="A3586" s="5" t="str">
        <f>HYPERLINK("http://www.eatonpowersource.com/products/configure/industrial%20valves/details/02-138304","02-138304")</f>
        <v>02-138304</v>
      </c>
      <c r="B3586" s="6" t="s">
        <v>3546</v>
      </c>
    </row>
    <row r="3587" spans="1:2" x14ac:dyDescent="0.3">
      <c r="A3587" s="7" t="str">
        <f>HYPERLINK("http://www.eatonpowersource.com/products/configure/industrial%20valves/details/02-138362","02-138362")</f>
        <v>02-138362</v>
      </c>
      <c r="B3587" s="8" t="s">
        <v>3547</v>
      </c>
    </row>
    <row r="3588" spans="1:2" x14ac:dyDescent="0.3">
      <c r="A3588" s="5" t="str">
        <f>HYPERLINK("http://www.eatonpowersource.com/products/configure/industrial%20valves/details/02-138364","02-138364")</f>
        <v>02-138364</v>
      </c>
      <c r="B3588" s="6" t="s">
        <v>3548</v>
      </c>
    </row>
    <row r="3589" spans="1:2" x14ac:dyDescent="0.3">
      <c r="A3589" s="7" t="str">
        <f>HYPERLINK("http://www.eatonpowersource.com/products/configure/industrial%20valves/details/02-138365","02-138365")</f>
        <v>02-138365</v>
      </c>
      <c r="B3589" s="8" t="s">
        <v>3549</v>
      </c>
    </row>
    <row r="3590" spans="1:2" x14ac:dyDescent="0.3">
      <c r="A3590" s="5" t="str">
        <f>HYPERLINK("http://www.eatonpowersource.com/products/configure/industrial%20valves/details/02-138366","02-138366")</f>
        <v>02-138366</v>
      </c>
      <c r="B3590" s="6" t="s">
        <v>3550</v>
      </c>
    </row>
    <row r="3591" spans="1:2" x14ac:dyDescent="0.3">
      <c r="A3591" s="7" t="str">
        <f>HYPERLINK("http://www.eatonpowersource.com/products/configure/industrial%20valves/details/02-138546","02-138546")</f>
        <v>02-138546</v>
      </c>
      <c r="B3591" s="8" t="s">
        <v>3551</v>
      </c>
    </row>
    <row r="3592" spans="1:2" x14ac:dyDescent="0.3">
      <c r="A3592" s="5" t="str">
        <f>HYPERLINK("http://www.eatonpowersource.com/products/configure/industrial%20valves/details/02-138547","02-138547")</f>
        <v>02-138547</v>
      </c>
      <c r="B3592" s="6" t="s">
        <v>3552</v>
      </c>
    </row>
    <row r="3593" spans="1:2" x14ac:dyDescent="0.3">
      <c r="A3593" s="7" t="str">
        <f>HYPERLINK("http://www.eatonpowersource.com/products/configure/industrial%20valves/details/02-138550","02-138550")</f>
        <v>02-138550</v>
      </c>
      <c r="B3593" s="8" t="s">
        <v>3553</v>
      </c>
    </row>
    <row r="3594" spans="1:2" x14ac:dyDescent="0.3">
      <c r="A3594" s="5" t="str">
        <f>HYPERLINK("http://www.eatonpowersource.com/products/configure/industrial%20valves/details/02-138683","02-138683")</f>
        <v>02-138683</v>
      </c>
      <c r="B3594" s="6" t="s">
        <v>3554</v>
      </c>
    </row>
    <row r="3595" spans="1:2" x14ac:dyDescent="0.3">
      <c r="A3595" s="7" t="str">
        <f>HYPERLINK("http://www.eatonpowersource.com/products/configure/industrial%20valves/details/02-138706","02-138706")</f>
        <v>02-138706</v>
      </c>
      <c r="B3595" s="8" t="s">
        <v>3555</v>
      </c>
    </row>
    <row r="3596" spans="1:2" x14ac:dyDescent="0.3">
      <c r="A3596" s="5" t="str">
        <f>HYPERLINK("http://www.eatonpowersource.com/products/configure/industrial%20valves/details/02-138751","02-138751")</f>
        <v>02-138751</v>
      </c>
      <c r="B3596" s="6" t="s">
        <v>3556</v>
      </c>
    </row>
    <row r="3597" spans="1:2" x14ac:dyDescent="0.3">
      <c r="A3597" s="7" t="str">
        <f>HYPERLINK("http://www.eatonpowersource.com/products/configure/industrial%20valves/details/02-138752","02-138752")</f>
        <v>02-138752</v>
      </c>
      <c r="B3597" s="8" t="s">
        <v>3557</v>
      </c>
    </row>
    <row r="3598" spans="1:2" x14ac:dyDescent="0.3">
      <c r="A3598" s="5" t="str">
        <f>HYPERLINK("http://www.eatonpowersource.com/products/configure/industrial%20valves/details/02-138753","02-138753")</f>
        <v>02-138753</v>
      </c>
      <c r="B3598" s="6" t="s">
        <v>3558</v>
      </c>
    </row>
    <row r="3599" spans="1:2" x14ac:dyDescent="0.3">
      <c r="A3599" s="7" t="str">
        <f>HYPERLINK("http://www.eatonpowersource.com/products/configure/industrial%20valves/details/02-138771","02-138771")</f>
        <v>02-138771</v>
      </c>
      <c r="B3599" s="8" t="s">
        <v>3559</v>
      </c>
    </row>
    <row r="3600" spans="1:2" x14ac:dyDescent="0.3">
      <c r="A3600" s="5" t="str">
        <f>HYPERLINK("http://www.eatonpowersource.com/products/configure/industrial%20valves/details/02-138799","02-138799")</f>
        <v>02-138799</v>
      </c>
      <c r="B3600" s="6" t="s">
        <v>3560</v>
      </c>
    </row>
    <row r="3601" spans="1:2" x14ac:dyDescent="0.3">
      <c r="A3601" s="7" t="str">
        <f>HYPERLINK("http://www.eatonpowersource.com/products/configure/industrial%20valves/details/02-138872","02-138872")</f>
        <v>02-138872</v>
      </c>
      <c r="B3601" s="8" t="s">
        <v>3561</v>
      </c>
    </row>
    <row r="3602" spans="1:2" x14ac:dyDescent="0.3">
      <c r="A3602" s="5" t="str">
        <f>HYPERLINK("http://www.eatonpowersource.com/products/configure/industrial%20valves/details/02-138921","02-138921")</f>
        <v>02-138921</v>
      </c>
      <c r="B3602" s="6" t="s">
        <v>3562</v>
      </c>
    </row>
    <row r="3603" spans="1:2" x14ac:dyDescent="0.3">
      <c r="A3603" s="7" t="str">
        <f>HYPERLINK("http://www.eatonpowersource.com/products/configure/industrial%20valves/details/02-138981","02-138981")</f>
        <v>02-138981</v>
      </c>
      <c r="B3603" s="8" t="s">
        <v>3563</v>
      </c>
    </row>
    <row r="3604" spans="1:2" x14ac:dyDescent="0.3">
      <c r="A3604" s="5" t="str">
        <f>HYPERLINK("http://www.eatonpowersource.com/products/configure/industrial%20valves/details/02-138987","02-138987")</f>
        <v>02-138987</v>
      </c>
      <c r="B3604" s="6" t="s">
        <v>3564</v>
      </c>
    </row>
    <row r="3605" spans="1:2" x14ac:dyDescent="0.3">
      <c r="A3605" s="7" t="str">
        <f>HYPERLINK("http://www.eatonpowersource.com/products/configure/industrial%20valves/details/02-139060","02-139060")</f>
        <v>02-139060</v>
      </c>
      <c r="B3605" s="8" t="s">
        <v>3565</v>
      </c>
    </row>
    <row r="3606" spans="1:2" x14ac:dyDescent="0.3">
      <c r="A3606" s="5" t="str">
        <f>HYPERLINK("http://www.eatonpowersource.com/products/configure/industrial%20valves/details/02-139214","02-139214")</f>
        <v>02-139214</v>
      </c>
      <c r="B3606" s="6" t="s">
        <v>3566</v>
      </c>
    </row>
    <row r="3607" spans="1:2" x14ac:dyDescent="0.3">
      <c r="A3607" s="7" t="str">
        <f>HYPERLINK("http://www.eatonpowersource.com/products/configure/industrial%20valves/details/02-139397","02-139397")</f>
        <v>02-139397</v>
      </c>
      <c r="B3607" s="8" t="s">
        <v>3567</v>
      </c>
    </row>
    <row r="3608" spans="1:2" x14ac:dyDescent="0.3">
      <c r="A3608" s="5" t="str">
        <f>HYPERLINK("http://www.eatonpowersource.com/products/configure/industrial%20valves/details/02-139418","02-139418")</f>
        <v>02-139418</v>
      </c>
      <c r="B3608" s="6" t="s">
        <v>3568</v>
      </c>
    </row>
    <row r="3609" spans="1:2" x14ac:dyDescent="0.3">
      <c r="A3609" s="7" t="str">
        <f>HYPERLINK("http://www.eatonpowersource.com/products/configure/industrial%20valves/details/02-139431","02-139431")</f>
        <v>02-139431</v>
      </c>
      <c r="B3609" s="8" t="s">
        <v>3569</v>
      </c>
    </row>
    <row r="3610" spans="1:2" x14ac:dyDescent="0.3">
      <c r="A3610" s="5" t="str">
        <f>HYPERLINK("http://www.eatonpowersource.com/products/configure/industrial%20valves/details/02-139432","02-139432")</f>
        <v>02-139432</v>
      </c>
      <c r="B3610" s="6" t="s">
        <v>3570</v>
      </c>
    </row>
    <row r="3611" spans="1:2" x14ac:dyDescent="0.3">
      <c r="A3611" s="7" t="str">
        <f>HYPERLINK("http://www.eatonpowersource.com/products/configure/industrial%20valves/details/02-139433","02-139433")</f>
        <v>02-139433</v>
      </c>
      <c r="B3611" s="8" t="s">
        <v>3571</v>
      </c>
    </row>
    <row r="3612" spans="1:2" x14ac:dyDescent="0.3">
      <c r="A3612" s="5" t="str">
        <f>HYPERLINK("http://www.eatonpowersource.com/products/configure/industrial%20valves/details/02-139434","02-139434")</f>
        <v>02-139434</v>
      </c>
      <c r="B3612" s="6" t="s">
        <v>3572</v>
      </c>
    </row>
    <row r="3613" spans="1:2" x14ac:dyDescent="0.3">
      <c r="A3613" s="7" t="str">
        <f>HYPERLINK("http://www.eatonpowersource.com/products/configure/industrial%20valves/details/02-139436","02-139436")</f>
        <v>02-139436</v>
      </c>
      <c r="B3613" s="8" t="s">
        <v>3573</v>
      </c>
    </row>
    <row r="3614" spans="1:2" x14ac:dyDescent="0.3">
      <c r="A3614" s="5" t="str">
        <f>HYPERLINK("http://www.eatonpowersource.com/products/configure/industrial%20valves/details/02-139440","02-139440")</f>
        <v>02-139440</v>
      </c>
      <c r="B3614" s="6" t="s">
        <v>3574</v>
      </c>
    </row>
    <row r="3615" spans="1:2" x14ac:dyDescent="0.3">
      <c r="A3615" s="7" t="str">
        <f>HYPERLINK("http://www.eatonpowersource.com/products/configure/industrial%20valves/details/02-139442","02-139442")</f>
        <v>02-139442</v>
      </c>
      <c r="B3615" s="8" t="s">
        <v>3575</v>
      </c>
    </row>
    <row r="3616" spans="1:2" x14ac:dyDescent="0.3">
      <c r="A3616" s="5" t="str">
        <f>HYPERLINK("http://www.eatonpowersource.com/products/configure/industrial%20valves/details/02-139469","02-139469")</f>
        <v>02-139469</v>
      </c>
      <c r="B3616" s="6" t="s">
        <v>3576</v>
      </c>
    </row>
    <row r="3617" spans="1:2" x14ac:dyDescent="0.3">
      <c r="A3617" s="7" t="str">
        <f>HYPERLINK("http://www.eatonpowersource.com/products/configure/industrial%20valves/details/02-139699","02-139699")</f>
        <v>02-139699</v>
      </c>
      <c r="B3617" s="8" t="s">
        <v>3577</v>
      </c>
    </row>
    <row r="3618" spans="1:2" x14ac:dyDescent="0.3">
      <c r="A3618" s="5" t="str">
        <f>HYPERLINK("http://www.eatonpowersource.com/products/configure/industrial%20valves/details/02-145762","02-145762")</f>
        <v>02-145762</v>
      </c>
      <c r="B3618" s="6" t="s">
        <v>3578</v>
      </c>
    </row>
    <row r="3619" spans="1:2" x14ac:dyDescent="0.3">
      <c r="A3619" s="7" t="str">
        <f>HYPERLINK("http://www.eatonpowersource.com/products/configure/industrial%20valves/details/02-145767","02-145767")</f>
        <v>02-145767</v>
      </c>
      <c r="B3619" s="8" t="s">
        <v>3579</v>
      </c>
    </row>
    <row r="3620" spans="1:2" x14ac:dyDescent="0.3">
      <c r="A3620" s="5" t="str">
        <f>HYPERLINK("http://www.eatonpowersource.com/products/configure/industrial%20valves/details/02-145811","02-145811")</f>
        <v>02-145811</v>
      </c>
      <c r="B3620" s="6" t="s">
        <v>3580</v>
      </c>
    </row>
    <row r="3621" spans="1:2" x14ac:dyDescent="0.3">
      <c r="A3621" s="7" t="str">
        <f>HYPERLINK("http://www.eatonpowersource.com/products/configure/industrial%20valves/details/02-145960","02-145960")</f>
        <v>02-145960</v>
      </c>
      <c r="B3621" s="8" t="s">
        <v>3581</v>
      </c>
    </row>
    <row r="3622" spans="1:2" x14ac:dyDescent="0.3">
      <c r="A3622" s="5" t="str">
        <f>HYPERLINK("http://www.eatonpowersource.com/products/configure/industrial%20valves/details/02-146046","02-146046")</f>
        <v>02-146046</v>
      </c>
      <c r="B3622" s="6" t="s">
        <v>3582</v>
      </c>
    </row>
    <row r="3623" spans="1:2" x14ac:dyDescent="0.3">
      <c r="A3623" s="7" t="str">
        <f>HYPERLINK("http://www.eatonpowersource.com/products/configure/industrial%20valves/details/02-146054","02-146054")</f>
        <v>02-146054</v>
      </c>
      <c r="B3623" s="8" t="s">
        <v>3583</v>
      </c>
    </row>
    <row r="3624" spans="1:2" x14ac:dyDescent="0.3">
      <c r="A3624" s="5" t="str">
        <f>HYPERLINK("http://www.eatonpowersource.com/products/configure/industrial%20valves/details/02-146059","02-146059")</f>
        <v>02-146059</v>
      </c>
      <c r="B3624" s="6" t="s">
        <v>3584</v>
      </c>
    </row>
    <row r="3625" spans="1:2" x14ac:dyDescent="0.3">
      <c r="A3625" s="7" t="str">
        <f>HYPERLINK("http://www.eatonpowersource.com/products/configure/industrial%20valves/details/02-146062","02-146062")</f>
        <v>02-146062</v>
      </c>
      <c r="B3625" s="8" t="s">
        <v>3585</v>
      </c>
    </row>
    <row r="3626" spans="1:2" x14ac:dyDescent="0.3">
      <c r="A3626" s="5" t="str">
        <f>HYPERLINK("http://www.eatonpowersource.com/products/configure/industrial%20valves/details/02-146150","02-146150")</f>
        <v>02-146150</v>
      </c>
      <c r="B3626" s="6" t="s">
        <v>3586</v>
      </c>
    </row>
    <row r="3627" spans="1:2" x14ac:dyDescent="0.3">
      <c r="A3627" s="7" t="str">
        <f>HYPERLINK("http://www.eatonpowersource.com/products/configure/industrial%20valves/details/02-146153","02-146153")</f>
        <v>02-146153</v>
      </c>
      <c r="B3627" s="8" t="s">
        <v>3587</v>
      </c>
    </row>
    <row r="3628" spans="1:2" x14ac:dyDescent="0.3">
      <c r="A3628" s="5" t="str">
        <f>HYPERLINK("http://www.eatonpowersource.com/products/configure/industrial%20valves/details/02-146159","02-146159")</f>
        <v>02-146159</v>
      </c>
      <c r="B3628" s="6" t="s">
        <v>3588</v>
      </c>
    </row>
    <row r="3629" spans="1:2" x14ac:dyDescent="0.3">
      <c r="A3629" s="7" t="str">
        <f>HYPERLINK("http://www.eatonpowersource.com/products/configure/industrial%20valves/details/02-146284","02-146284")</f>
        <v>02-146284</v>
      </c>
      <c r="B3629" s="8" t="s">
        <v>3589</v>
      </c>
    </row>
    <row r="3630" spans="1:2" x14ac:dyDescent="0.3">
      <c r="A3630" s="5" t="str">
        <f>HYPERLINK("http://www.eatonpowersource.com/products/configure/industrial%20valves/details/02-146339","02-146339")</f>
        <v>02-146339</v>
      </c>
      <c r="B3630" s="6" t="s">
        <v>3590</v>
      </c>
    </row>
    <row r="3631" spans="1:2" x14ac:dyDescent="0.3">
      <c r="A3631" s="7" t="str">
        <f>HYPERLINK("http://www.eatonpowersource.com/products/configure/industrial%20valves/details/02-146342","02-146342")</f>
        <v>02-146342</v>
      </c>
      <c r="B3631" s="8" t="s">
        <v>3591</v>
      </c>
    </row>
    <row r="3632" spans="1:2" x14ac:dyDescent="0.3">
      <c r="A3632" s="5" t="str">
        <f>HYPERLINK("http://www.eatonpowersource.com/products/configure/industrial%20valves/details/02-146372","02-146372")</f>
        <v>02-146372</v>
      </c>
      <c r="B3632" s="6" t="s">
        <v>3592</v>
      </c>
    </row>
    <row r="3633" spans="1:2" x14ac:dyDescent="0.3">
      <c r="A3633" s="7" t="str">
        <f>HYPERLINK("http://www.eatonpowersource.com/products/configure/industrial%20valves/details/02-146373","02-146373")</f>
        <v>02-146373</v>
      </c>
      <c r="B3633" s="8" t="s">
        <v>3593</v>
      </c>
    </row>
    <row r="3634" spans="1:2" x14ac:dyDescent="0.3">
      <c r="A3634" s="5" t="str">
        <f>HYPERLINK("http://www.eatonpowersource.com/products/configure/industrial%20valves/details/02-146392","02-146392")</f>
        <v>02-146392</v>
      </c>
      <c r="B3634" s="6" t="s">
        <v>3594</v>
      </c>
    </row>
    <row r="3635" spans="1:2" x14ac:dyDescent="0.3">
      <c r="A3635" s="7" t="str">
        <f>HYPERLINK("http://www.eatonpowersource.com/products/configure/industrial%20valves/details/02-146561","02-146561")</f>
        <v>02-146561</v>
      </c>
      <c r="B3635" s="8" t="s">
        <v>3595</v>
      </c>
    </row>
    <row r="3636" spans="1:2" x14ac:dyDescent="0.3">
      <c r="A3636" s="5" t="str">
        <f>HYPERLINK("http://www.eatonpowersource.com/products/configure/industrial%20valves/details/02-146701","02-146701")</f>
        <v>02-146701</v>
      </c>
      <c r="B3636" s="6" t="s">
        <v>3596</v>
      </c>
    </row>
    <row r="3637" spans="1:2" x14ac:dyDescent="0.3">
      <c r="A3637" s="7" t="str">
        <f>HYPERLINK("http://www.eatonpowersource.com/products/configure/industrial%20valves/details/02-146749","02-146749")</f>
        <v>02-146749</v>
      </c>
      <c r="B3637" s="8" t="s">
        <v>3597</v>
      </c>
    </row>
    <row r="3638" spans="1:2" x14ac:dyDescent="0.3">
      <c r="A3638" s="5" t="str">
        <f>HYPERLINK("http://www.eatonpowersource.com/products/configure/industrial%20valves/details/02-146767","02-146767")</f>
        <v>02-146767</v>
      </c>
      <c r="B3638" s="6" t="s">
        <v>3598</v>
      </c>
    </row>
    <row r="3639" spans="1:2" x14ac:dyDescent="0.3">
      <c r="A3639" s="7" t="str">
        <f>HYPERLINK("http://www.eatonpowersource.com/products/configure/industrial%20valves/details/02-146953","02-146953")</f>
        <v>02-146953</v>
      </c>
      <c r="B3639" s="8" t="s">
        <v>3599</v>
      </c>
    </row>
    <row r="3640" spans="1:2" x14ac:dyDescent="0.3">
      <c r="A3640" s="5" t="str">
        <f>HYPERLINK("http://www.eatonpowersource.com/products/configure/industrial%20valves/details/02-146966","02-146966")</f>
        <v>02-146966</v>
      </c>
      <c r="B3640" s="6" t="s">
        <v>3600</v>
      </c>
    </row>
    <row r="3641" spans="1:2" x14ac:dyDescent="0.3">
      <c r="A3641" s="7" t="str">
        <f>HYPERLINK("http://www.eatonpowersource.com/products/configure/industrial%20valves/details/02-147038","02-147038")</f>
        <v>02-147038</v>
      </c>
      <c r="B3641" s="8" t="s">
        <v>3601</v>
      </c>
    </row>
    <row r="3642" spans="1:2" x14ac:dyDescent="0.3">
      <c r="A3642" s="5" t="str">
        <f>HYPERLINK("http://www.eatonpowersource.com/products/configure/industrial%20valves/details/02-147049","02-147049")</f>
        <v>02-147049</v>
      </c>
      <c r="B3642" s="6" t="s">
        <v>3602</v>
      </c>
    </row>
    <row r="3643" spans="1:2" x14ac:dyDescent="0.3">
      <c r="A3643" s="7" t="str">
        <f>HYPERLINK("http://www.eatonpowersource.com/products/configure/industrial%20valves/details/02-147079","02-147079")</f>
        <v>02-147079</v>
      </c>
      <c r="B3643" s="8" t="s">
        <v>3603</v>
      </c>
    </row>
    <row r="3644" spans="1:2" x14ac:dyDescent="0.3">
      <c r="A3644" s="5" t="str">
        <f>HYPERLINK("http://www.eatonpowersource.com/products/configure/industrial%20valves/details/02-147208","02-147208")</f>
        <v>02-147208</v>
      </c>
      <c r="B3644" s="6" t="s">
        <v>3604</v>
      </c>
    </row>
    <row r="3645" spans="1:2" x14ac:dyDescent="0.3">
      <c r="A3645" s="7" t="str">
        <f>HYPERLINK("http://www.eatonpowersource.com/products/configure/industrial%20valves/details/02-147224","02-147224")</f>
        <v>02-147224</v>
      </c>
      <c r="B3645" s="8" t="s">
        <v>3605</v>
      </c>
    </row>
    <row r="3646" spans="1:2" x14ac:dyDescent="0.3">
      <c r="A3646" s="5" t="str">
        <f>HYPERLINK("http://www.eatonpowersource.com/products/configure/industrial%20valves/details/02-147277","02-147277")</f>
        <v>02-147277</v>
      </c>
      <c r="B3646" s="6" t="s">
        <v>3606</v>
      </c>
    </row>
    <row r="3647" spans="1:2" x14ac:dyDescent="0.3">
      <c r="A3647" s="7" t="str">
        <f>HYPERLINK("http://www.eatonpowersource.com/products/configure/industrial%20valves/details/02-147327","02-147327")</f>
        <v>02-147327</v>
      </c>
      <c r="B3647" s="8" t="s">
        <v>3607</v>
      </c>
    </row>
    <row r="3648" spans="1:2" x14ac:dyDescent="0.3">
      <c r="A3648" s="5" t="str">
        <f>HYPERLINK("http://www.eatonpowersource.com/products/configure/industrial%20valves/details/02-147368","02-147368")</f>
        <v>02-147368</v>
      </c>
      <c r="B3648" s="6" t="s">
        <v>3608</v>
      </c>
    </row>
    <row r="3649" spans="1:2" x14ac:dyDescent="0.3">
      <c r="A3649" s="7" t="str">
        <f>HYPERLINK("http://www.eatonpowersource.com/products/configure/industrial%20valves/details/02-147516","02-147516")</f>
        <v>02-147516</v>
      </c>
      <c r="B3649" s="8" t="s">
        <v>3609</v>
      </c>
    </row>
    <row r="3650" spans="1:2" x14ac:dyDescent="0.3">
      <c r="A3650" s="5" t="str">
        <f>HYPERLINK("http://www.eatonpowersource.com/products/configure/industrial%20valves/details/02-147533","02-147533")</f>
        <v>02-147533</v>
      </c>
      <c r="B3650" s="6" t="s">
        <v>3610</v>
      </c>
    </row>
    <row r="3651" spans="1:2" x14ac:dyDescent="0.3">
      <c r="A3651" s="7" t="str">
        <f>HYPERLINK("http://www.eatonpowersource.com/products/configure/industrial%20valves/details/02-147541","02-147541")</f>
        <v>02-147541</v>
      </c>
      <c r="B3651" s="8" t="s">
        <v>3611</v>
      </c>
    </row>
    <row r="3652" spans="1:2" x14ac:dyDescent="0.3">
      <c r="A3652" s="5" t="str">
        <f>HYPERLINK("http://www.eatonpowersource.com/products/configure/industrial%20valves/details/02-147548","02-147548")</f>
        <v>02-147548</v>
      </c>
      <c r="B3652" s="6" t="s">
        <v>3612</v>
      </c>
    </row>
    <row r="3653" spans="1:2" x14ac:dyDescent="0.3">
      <c r="A3653" s="7" t="str">
        <f>HYPERLINK("http://www.eatonpowersource.com/products/configure/industrial%20valves/details/02-147592","02-147592")</f>
        <v>02-147592</v>
      </c>
      <c r="B3653" s="8" t="s">
        <v>3613</v>
      </c>
    </row>
    <row r="3654" spans="1:2" x14ac:dyDescent="0.3">
      <c r="A3654" s="5" t="str">
        <f>HYPERLINK("http://www.eatonpowersource.com/products/configure/industrial%20valves/details/02-147632","02-147632")</f>
        <v>02-147632</v>
      </c>
      <c r="B3654" s="6" t="s">
        <v>3614</v>
      </c>
    </row>
    <row r="3655" spans="1:2" x14ac:dyDescent="0.3">
      <c r="A3655" s="7" t="str">
        <f>HYPERLINK("http://www.eatonpowersource.com/products/configure/industrial%20valves/details/02-147689","02-147689")</f>
        <v>02-147689</v>
      </c>
      <c r="B3655" s="8" t="s">
        <v>3615</v>
      </c>
    </row>
    <row r="3656" spans="1:2" x14ac:dyDescent="0.3">
      <c r="A3656" s="5" t="str">
        <f>HYPERLINK("http://www.eatonpowersource.com/products/configure/industrial%20valves/details/02-156035","02-156035")</f>
        <v>02-156035</v>
      </c>
      <c r="B3656" s="6" t="s">
        <v>3616</v>
      </c>
    </row>
    <row r="3657" spans="1:2" x14ac:dyDescent="0.3">
      <c r="A3657" s="7" t="str">
        <f>HYPERLINK("http://www.eatonpowersource.com/products/configure/industrial%20valves/details/02-156091","02-156091")</f>
        <v>02-156091</v>
      </c>
      <c r="B3657" s="8" t="s">
        <v>3617</v>
      </c>
    </row>
    <row r="3658" spans="1:2" x14ac:dyDescent="0.3">
      <c r="A3658" s="5" t="str">
        <f>HYPERLINK("http://www.eatonpowersource.com/products/configure/industrial%20valves/details/02-156219","02-156219")</f>
        <v>02-156219</v>
      </c>
      <c r="B3658" s="6" t="s">
        <v>3618</v>
      </c>
    </row>
    <row r="3659" spans="1:2" x14ac:dyDescent="0.3">
      <c r="A3659" s="7" t="str">
        <f>HYPERLINK("http://www.eatonpowersource.com/products/configure/industrial%20valves/details/02-156231","02-156231")</f>
        <v>02-156231</v>
      </c>
      <c r="B3659" s="8" t="s">
        <v>3619</v>
      </c>
    </row>
    <row r="3660" spans="1:2" x14ac:dyDescent="0.3">
      <c r="A3660" s="5" t="str">
        <f>HYPERLINK("http://www.eatonpowersource.com/products/configure/industrial%20valves/details/02-156306","02-156306")</f>
        <v>02-156306</v>
      </c>
      <c r="B3660" s="6" t="s">
        <v>3620</v>
      </c>
    </row>
    <row r="3661" spans="1:2" x14ac:dyDescent="0.3">
      <c r="A3661" s="7" t="str">
        <f>HYPERLINK("http://www.eatonpowersource.com/products/configure/industrial%20valves/details/02-156307","02-156307")</f>
        <v>02-156307</v>
      </c>
      <c r="B3661" s="8" t="s">
        <v>3621</v>
      </c>
    </row>
    <row r="3662" spans="1:2" x14ac:dyDescent="0.3">
      <c r="A3662" s="5" t="str">
        <f>HYPERLINK("http://www.eatonpowersource.com/products/configure/industrial%20valves/details/02-156604","02-156604")</f>
        <v>02-156604</v>
      </c>
      <c r="B3662" s="6" t="s">
        <v>3622</v>
      </c>
    </row>
    <row r="3663" spans="1:2" x14ac:dyDescent="0.3">
      <c r="A3663" s="7" t="str">
        <f>HYPERLINK("http://www.eatonpowersource.com/products/configure/industrial%20valves/details/02-156609","02-156609")</f>
        <v>02-156609</v>
      </c>
      <c r="B3663" s="8" t="s">
        <v>3623</v>
      </c>
    </row>
    <row r="3664" spans="1:2" x14ac:dyDescent="0.3">
      <c r="A3664" s="5" t="str">
        <f>HYPERLINK("http://www.eatonpowersource.com/products/configure/industrial%20valves/details/02-156617","02-156617")</f>
        <v>02-156617</v>
      </c>
      <c r="B3664" s="6" t="s">
        <v>3624</v>
      </c>
    </row>
    <row r="3665" spans="1:2" x14ac:dyDescent="0.3">
      <c r="A3665" s="7" t="str">
        <f>HYPERLINK("http://www.eatonpowersource.com/products/configure/industrial%20valves/details/02-156905","02-156905")</f>
        <v>02-156905</v>
      </c>
      <c r="B3665" s="8" t="s">
        <v>3625</v>
      </c>
    </row>
    <row r="3666" spans="1:2" x14ac:dyDescent="0.3">
      <c r="A3666" s="5" t="str">
        <f>HYPERLINK("http://www.eatonpowersource.com/products/configure/industrial%20valves/details/02-156915","02-156915")</f>
        <v>02-156915</v>
      </c>
      <c r="B3666" s="6" t="s">
        <v>3626</v>
      </c>
    </row>
    <row r="3667" spans="1:2" x14ac:dyDescent="0.3">
      <c r="A3667" s="7" t="str">
        <f>HYPERLINK("http://www.eatonpowersource.com/products/configure/industrial%20valves/details/02-156984","02-156984")</f>
        <v>02-156984</v>
      </c>
      <c r="B3667" s="8" t="s">
        <v>3627</v>
      </c>
    </row>
    <row r="3668" spans="1:2" x14ac:dyDescent="0.3">
      <c r="A3668" s="5" t="str">
        <f>HYPERLINK("http://www.eatonpowersource.com/products/configure/industrial%20valves/details/02-157037","02-157037")</f>
        <v>02-157037</v>
      </c>
      <c r="B3668" s="6" t="s">
        <v>3628</v>
      </c>
    </row>
    <row r="3669" spans="1:2" x14ac:dyDescent="0.3">
      <c r="A3669" s="7" t="str">
        <f>HYPERLINK("http://www.eatonpowersource.com/products/configure/industrial%20valves/details/02-157077","02-157077")</f>
        <v>02-157077</v>
      </c>
      <c r="B3669" s="8" t="s">
        <v>3629</v>
      </c>
    </row>
    <row r="3670" spans="1:2" x14ac:dyDescent="0.3">
      <c r="A3670" s="5" t="str">
        <f>HYPERLINK("http://www.eatonpowersource.com/products/configure/industrial%20valves/details/02-157118","02-157118")</f>
        <v>02-157118</v>
      </c>
      <c r="B3670" s="6" t="s">
        <v>3630</v>
      </c>
    </row>
    <row r="3671" spans="1:2" x14ac:dyDescent="0.3">
      <c r="A3671" s="7" t="str">
        <f>HYPERLINK("http://www.eatonpowersource.com/products/configure/industrial%20valves/details/02-157585","02-157585")</f>
        <v>02-157585</v>
      </c>
      <c r="B3671" s="8" t="s">
        <v>3631</v>
      </c>
    </row>
    <row r="3672" spans="1:2" x14ac:dyDescent="0.3">
      <c r="A3672" s="5" t="str">
        <f>HYPERLINK("http://www.eatonpowersource.com/products/configure/industrial%20valves/details/02-157781","02-157781")</f>
        <v>02-157781</v>
      </c>
      <c r="B3672" s="6" t="s">
        <v>3632</v>
      </c>
    </row>
    <row r="3673" spans="1:2" x14ac:dyDescent="0.3">
      <c r="A3673" s="7" t="str">
        <f>HYPERLINK("http://www.eatonpowersource.com/products/configure/industrial%20valves/details/02-157830","02-157830")</f>
        <v>02-157830</v>
      </c>
      <c r="B3673" s="8" t="s">
        <v>3633</v>
      </c>
    </row>
    <row r="3674" spans="1:2" x14ac:dyDescent="0.3">
      <c r="A3674" s="5" t="str">
        <f>HYPERLINK("http://www.eatonpowersource.com/products/configure/industrial%20valves/details/02-157907","02-157907")</f>
        <v>02-157907</v>
      </c>
      <c r="B3674" s="6" t="s">
        <v>3634</v>
      </c>
    </row>
    <row r="3675" spans="1:2" x14ac:dyDescent="0.3">
      <c r="A3675" s="7" t="str">
        <f>HYPERLINK("http://www.eatonpowersource.com/products/configure/industrial%20valves/details/02-310719","02-310719")</f>
        <v>02-310719</v>
      </c>
      <c r="B3675" s="8" t="s">
        <v>3635</v>
      </c>
    </row>
    <row r="3676" spans="1:2" x14ac:dyDescent="0.3">
      <c r="A3676" s="5" t="str">
        <f>HYPERLINK("http://www.eatonpowersource.com/products/configure/industrial%20valves/details/02-310837","02-310837")</f>
        <v>02-310837</v>
      </c>
      <c r="B3676" s="6" t="s">
        <v>3636</v>
      </c>
    </row>
    <row r="3677" spans="1:2" x14ac:dyDescent="0.3">
      <c r="A3677" s="7" t="str">
        <f>HYPERLINK("http://www.eatonpowersource.com/products/configure/industrial%20valves/details/02-311454","02-311454")</f>
        <v>02-311454</v>
      </c>
      <c r="B3677" s="8" t="s">
        <v>3637</v>
      </c>
    </row>
    <row r="3678" spans="1:2" x14ac:dyDescent="0.3">
      <c r="A3678" s="5" t="str">
        <f>HYPERLINK("http://www.eatonpowersource.com/products/configure/industrial%20valves/details/02-311519","02-311519")</f>
        <v>02-311519</v>
      </c>
      <c r="B3678" s="6" t="s">
        <v>3638</v>
      </c>
    </row>
    <row r="3679" spans="1:2" x14ac:dyDescent="0.3">
      <c r="A3679" s="7" t="str">
        <f>HYPERLINK("http://www.eatonpowersource.com/products/configure/industrial%20valves/details/02-311544","02-311544")</f>
        <v>02-311544</v>
      </c>
      <c r="B3679" s="8" t="s">
        <v>3639</v>
      </c>
    </row>
    <row r="3680" spans="1:2" x14ac:dyDescent="0.3">
      <c r="A3680" s="5" t="str">
        <f>HYPERLINK("http://www.eatonpowersource.com/products/configure/industrial%20valves/details/02-311759","02-311759")</f>
        <v>02-311759</v>
      </c>
      <c r="B3680" s="6" t="s">
        <v>3640</v>
      </c>
    </row>
    <row r="3681" spans="1:2" x14ac:dyDescent="0.3">
      <c r="A3681" s="7" t="str">
        <f>HYPERLINK("http://www.eatonpowersource.com/products/configure/industrial%20valves/details/02-311769","02-311769")</f>
        <v>02-311769</v>
      </c>
      <c r="B3681" s="8" t="s">
        <v>3641</v>
      </c>
    </row>
    <row r="3682" spans="1:2" x14ac:dyDescent="0.3">
      <c r="A3682" s="5" t="str">
        <f>HYPERLINK("http://www.eatonpowersource.com/products/configure/industrial%20valves/details/02-311856","02-311856")</f>
        <v>02-311856</v>
      </c>
      <c r="B3682" s="6" t="s">
        <v>3642</v>
      </c>
    </row>
    <row r="3683" spans="1:2" x14ac:dyDescent="0.3">
      <c r="A3683" s="7" t="str">
        <f>HYPERLINK("http://www.eatonpowersource.com/products/configure/industrial%20valves/details/02-312030","02-312030")</f>
        <v>02-312030</v>
      </c>
      <c r="B3683" s="8" t="s">
        <v>3643</v>
      </c>
    </row>
    <row r="3684" spans="1:2" x14ac:dyDescent="0.3">
      <c r="A3684" s="5" t="str">
        <f>HYPERLINK("http://www.eatonpowersource.com/products/configure/industrial%20valves/details/02-312088","02-312088")</f>
        <v>02-312088</v>
      </c>
      <c r="B3684" s="6" t="s">
        <v>3644</v>
      </c>
    </row>
    <row r="3685" spans="1:2" x14ac:dyDescent="0.3">
      <c r="A3685" s="7" t="str">
        <f>HYPERLINK("http://www.eatonpowersource.com/products/configure/industrial%20valves/details/02-312141","02-312141")</f>
        <v>02-312141</v>
      </c>
      <c r="B3685" s="8" t="s">
        <v>3645</v>
      </c>
    </row>
    <row r="3686" spans="1:2" x14ac:dyDescent="0.3">
      <c r="A3686" s="5" t="str">
        <f>HYPERLINK("http://www.eatonpowersource.com/products/configure/industrial%20valves/details/02-312184","02-312184")</f>
        <v>02-312184</v>
      </c>
      <c r="B3686" s="6" t="s">
        <v>3646</v>
      </c>
    </row>
    <row r="3687" spans="1:2" x14ac:dyDescent="0.3">
      <c r="A3687" s="7" t="str">
        <f>HYPERLINK("http://www.eatonpowersource.com/products/configure/industrial%20valves/details/02-312367","02-312367")</f>
        <v>02-312367</v>
      </c>
      <c r="B3687" s="8" t="s">
        <v>3647</v>
      </c>
    </row>
    <row r="3688" spans="1:2" x14ac:dyDescent="0.3">
      <c r="A3688" s="5" t="str">
        <f>HYPERLINK("http://www.eatonpowersource.com/products/configure/industrial%20valves/details/02-318158","02-318158")</f>
        <v>02-318158</v>
      </c>
      <c r="B3688" s="6" t="s">
        <v>3648</v>
      </c>
    </row>
    <row r="3689" spans="1:2" x14ac:dyDescent="0.3">
      <c r="A3689" s="7" t="str">
        <f>HYPERLINK("http://www.eatonpowersource.com/products/configure/industrial%20valves/details/02-319421","02-319421")</f>
        <v>02-319421</v>
      </c>
      <c r="B3689" s="8" t="s">
        <v>3649</v>
      </c>
    </row>
    <row r="3690" spans="1:2" x14ac:dyDescent="0.3">
      <c r="A3690" s="5" t="str">
        <f>HYPERLINK("http://www.eatonpowersource.com/products/configure/industrial%20valves/details/02-323043","02-323043")</f>
        <v>02-323043</v>
      </c>
      <c r="B3690" s="6" t="s">
        <v>3650</v>
      </c>
    </row>
    <row r="3691" spans="1:2" x14ac:dyDescent="0.3">
      <c r="A3691" s="7" t="str">
        <f>HYPERLINK("http://www.eatonpowersource.com/products/configure/industrial%20valves/details/02-323201","02-323201")</f>
        <v>02-323201</v>
      </c>
      <c r="B3691" s="8" t="s">
        <v>3651</v>
      </c>
    </row>
    <row r="3692" spans="1:2" x14ac:dyDescent="0.3">
      <c r="A3692" s="5" t="str">
        <f>HYPERLINK("http://www.eatonpowersource.com/products/configure/industrial%20valves/details/02-323687","02-323687")</f>
        <v>02-323687</v>
      </c>
      <c r="B3692" s="6" t="s">
        <v>3652</v>
      </c>
    </row>
    <row r="3693" spans="1:2" x14ac:dyDescent="0.3">
      <c r="A3693" s="7" t="str">
        <f>HYPERLINK("http://www.eatonpowersource.com/products/configure/industrial%20valves/details/02-323720","02-323720")</f>
        <v>02-323720</v>
      </c>
      <c r="B3693" s="8" t="s">
        <v>3653</v>
      </c>
    </row>
    <row r="3694" spans="1:2" x14ac:dyDescent="0.3">
      <c r="A3694" s="5" t="str">
        <f>HYPERLINK("http://www.eatonpowersource.com/products/configure/industrial%20valves/details/02-323767","02-323767")</f>
        <v>02-323767</v>
      </c>
      <c r="B3694" s="6" t="s">
        <v>3654</v>
      </c>
    </row>
    <row r="3695" spans="1:2" x14ac:dyDescent="0.3">
      <c r="A3695" s="7" t="str">
        <f>HYPERLINK("http://www.eatonpowersource.com/products/configure/industrial%20valves/details/02-323821","02-323821")</f>
        <v>02-323821</v>
      </c>
      <c r="B3695" s="8" t="s">
        <v>3655</v>
      </c>
    </row>
    <row r="3696" spans="1:2" x14ac:dyDescent="0.3">
      <c r="A3696" s="5" t="str">
        <f>HYPERLINK("http://www.eatonpowersource.com/products/configure/industrial%20valves/details/02-323857","02-323857")</f>
        <v>02-323857</v>
      </c>
      <c r="B3696" s="6" t="s">
        <v>3656</v>
      </c>
    </row>
    <row r="3697" spans="1:2" x14ac:dyDescent="0.3">
      <c r="A3697" s="7" t="str">
        <f>HYPERLINK("http://www.eatonpowersource.com/products/configure/industrial%20valves/details/02-329310","02-329310")</f>
        <v>02-329310</v>
      </c>
      <c r="B3697" s="8" t="s">
        <v>3657</v>
      </c>
    </row>
    <row r="3698" spans="1:2" x14ac:dyDescent="0.3">
      <c r="A3698" s="5" t="str">
        <f>HYPERLINK("http://www.eatonpowersource.com/products/configure/industrial%20valves/details/02-329311","02-329311")</f>
        <v>02-329311</v>
      </c>
      <c r="B3698" s="6" t="s">
        <v>3658</v>
      </c>
    </row>
    <row r="3699" spans="1:2" x14ac:dyDescent="0.3">
      <c r="A3699" s="7" t="str">
        <f>HYPERLINK("http://www.eatonpowersource.com/products/configure/industrial%20valves/details/02-329312","02-329312")</f>
        <v>02-329312</v>
      </c>
      <c r="B3699" s="8" t="s">
        <v>3659</v>
      </c>
    </row>
    <row r="3700" spans="1:2" x14ac:dyDescent="0.3">
      <c r="A3700" s="5" t="str">
        <f>HYPERLINK("http://www.eatonpowersource.com/products/configure/industrial%20valves/details/02-329314","02-329314")</f>
        <v>02-329314</v>
      </c>
      <c r="B3700" s="6" t="s">
        <v>3660</v>
      </c>
    </row>
    <row r="3701" spans="1:2" x14ac:dyDescent="0.3">
      <c r="A3701" s="7" t="str">
        <f>HYPERLINK("http://www.eatonpowersource.com/products/configure/industrial%20valves/details/02-330420","02-330420")</f>
        <v>02-330420</v>
      </c>
      <c r="B3701" s="8" t="s">
        <v>3661</v>
      </c>
    </row>
    <row r="3702" spans="1:2" x14ac:dyDescent="0.3">
      <c r="A3702" s="5" t="str">
        <f>HYPERLINK("http://www.eatonpowersource.com/products/configure/industrial%20valves/details/02-332002","02-332002")</f>
        <v>02-332002</v>
      </c>
      <c r="B3702" s="6" t="s">
        <v>3662</v>
      </c>
    </row>
    <row r="3703" spans="1:2" x14ac:dyDescent="0.3">
      <c r="A3703" s="7" t="str">
        <f>HYPERLINK("http://www.eatonpowersource.com/products/configure/industrial%20valves/details/02-332101","02-332101")</f>
        <v>02-332101</v>
      </c>
      <c r="B3703" s="8" t="s">
        <v>3663</v>
      </c>
    </row>
    <row r="3704" spans="1:2" x14ac:dyDescent="0.3">
      <c r="A3704" s="5" t="str">
        <f>HYPERLINK("http://www.eatonpowersource.com/products/configure/industrial%20valves/details/02-332129","02-332129")</f>
        <v>02-332129</v>
      </c>
      <c r="B3704" s="6" t="s">
        <v>3664</v>
      </c>
    </row>
    <row r="3705" spans="1:2" x14ac:dyDescent="0.3">
      <c r="A3705" s="7" t="str">
        <f>HYPERLINK("http://www.eatonpowersource.com/products/configure/industrial%20valves/details/02-332252","02-332252")</f>
        <v>02-332252</v>
      </c>
      <c r="B3705" s="8" t="s">
        <v>3665</v>
      </c>
    </row>
    <row r="3706" spans="1:2" x14ac:dyDescent="0.3">
      <c r="A3706" s="5" t="str">
        <f>HYPERLINK("http://www.eatonpowersource.com/products/configure/industrial%20valves/details/02-332790","02-332790")</f>
        <v>02-332790</v>
      </c>
      <c r="B3706" s="6" t="s">
        <v>3666</v>
      </c>
    </row>
    <row r="3707" spans="1:2" x14ac:dyDescent="0.3">
      <c r="A3707" s="7" t="str">
        <f>HYPERLINK("http://www.eatonpowersource.com/products/configure/industrial%20valves/details/02-332881","02-332881")</f>
        <v>02-332881</v>
      </c>
      <c r="B3707" s="8" t="s">
        <v>3667</v>
      </c>
    </row>
    <row r="3708" spans="1:2" x14ac:dyDescent="0.3">
      <c r="A3708" s="5" t="str">
        <f>HYPERLINK("http://www.eatonpowersource.com/products/configure/industrial%20valves/details/02-333002","02-333002")</f>
        <v>02-333002</v>
      </c>
      <c r="B3708" s="6" t="s">
        <v>3668</v>
      </c>
    </row>
    <row r="3709" spans="1:2" x14ac:dyDescent="0.3">
      <c r="A3709" s="7" t="str">
        <f>HYPERLINK("http://www.eatonpowersource.com/products/configure/industrial%20valves/details/02-333043","02-333043")</f>
        <v>02-333043</v>
      </c>
      <c r="B3709" s="8" t="s">
        <v>3669</v>
      </c>
    </row>
    <row r="3710" spans="1:2" x14ac:dyDescent="0.3">
      <c r="A3710" s="5" t="str">
        <f>HYPERLINK("http://www.eatonpowersource.com/products/configure/industrial%20valves/details/02-333147","02-333147")</f>
        <v>02-333147</v>
      </c>
      <c r="B3710" s="6" t="s">
        <v>3670</v>
      </c>
    </row>
    <row r="3711" spans="1:2" x14ac:dyDescent="0.3">
      <c r="A3711" s="7" t="str">
        <f>HYPERLINK("http://www.eatonpowersource.com/products/configure/industrial%20valves/details/02-333196","02-333196")</f>
        <v>02-333196</v>
      </c>
      <c r="B3711" s="8" t="s">
        <v>3671</v>
      </c>
    </row>
    <row r="3712" spans="1:2" x14ac:dyDescent="0.3">
      <c r="A3712" s="5" t="str">
        <f>HYPERLINK("http://www.eatonpowersource.com/products/configure/industrial%20valves/details/02-333313","02-333313")</f>
        <v>02-333313</v>
      </c>
      <c r="B3712" s="6" t="s">
        <v>3672</v>
      </c>
    </row>
    <row r="3713" spans="1:2" x14ac:dyDescent="0.3">
      <c r="A3713" s="7" t="str">
        <f>HYPERLINK("http://www.eatonpowersource.com/products/configure/industrial%20valves/details/02-333849","02-333849")</f>
        <v>02-333849</v>
      </c>
      <c r="B3713" s="8" t="s">
        <v>3673</v>
      </c>
    </row>
    <row r="3714" spans="1:2" x14ac:dyDescent="0.3">
      <c r="A3714" s="5" t="str">
        <f>HYPERLINK("http://www.eatonpowersource.com/products/configure/industrial%20valves/details/02-333896","02-333896")</f>
        <v>02-333896</v>
      </c>
      <c r="B3714" s="6" t="s">
        <v>3674</v>
      </c>
    </row>
    <row r="3715" spans="1:2" x14ac:dyDescent="0.3">
      <c r="A3715" s="7" t="str">
        <f>HYPERLINK("http://www.eatonpowersource.com/products/configure/industrial%20valves/details/02-336429","02-336429")</f>
        <v>02-336429</v>
      </c>
      <c r="B3715" s="8" t="s">
        <v>3675</v>
      </c>
    </row>
    <row r="3716" spans="1:2" x14ac:dyDescent="0.3">
      <c r="A3716" s="5" t="str">
        <f>HYPERLINK("http://www.eatonpowersource.com/products/configure/industrial%20valves/details/02-336844","02-336844")</f>
        <v>02-336844</v>
      </c>
      <c r="B3716" s="6" t="s">
        <v>3676</v>
      </c>
    </row>
    <row r="3717" spans="1:2" x14ac:dyDescent="0.3">
      <c r="A3717" s="7" t="str">
        <f>HYPERLINK("http://www.eatonpowersource.com/products/configure/industrial%20valves/details/02-337782","02-337782")</f>
        <v>02-337782</v>
      </c>
      <c r="B3717" s="8" t="s">
        <v>3677</v>
      </c>
    </row>
    <row r="3718" spans="1:2" x14ac:dyDescent="0.3">
      <c r="A3718" s="5" t="str">
        <f>HYPERLINK("http://www.eatonpowersource.com/products/configure/industrial%20valves/details/02-338242","02-338242")</f>
        <v>02-338242</v>
      </c>
      <c r="B3718" s="6" t="s">
        <v>3678</v>
      </c>
    </row>
    <row r="3719" spans="1:2" x14ac:dyDescent="0.3">
      <c r="A3719" s="7" t="str">
        <f>HYPERLINK("http://www.eatonpowersource.com/products/configure/industrial%20valves/details/02-338243","02-338243")</f>
        <v>02-338243</v>
      </c>
      <c r="B3719" s="8" t="s">
        <v>3679</v>
      </c>
    </row>
    <row r="3720" spans="1:2" x14ac:dyDescent="0.3">
      <c r="A3720" s="5" t="str">
        <f>HYPERLINK("http://www.eatonpowersource.com/products/configure/industrial%20valves/details/02-339041","02-339041")</f>
        <v>02-339041</v>
      </c>
      <c r="B3720" s="6" t="s">
        <v>3680</v>
      </c>
    </row>
    <row r="3721" spans="1:2" x14ac:dyDescent="0.3">
      <c r="A3721" s="7" t="str">
        <f>HYPERLINK("http://www.eatonpowersource.com/products/configure/industrial%20valves/details/02-339452","02-339452")</f>
        <v>02-339452</v>
      </c>
      <c r="B3721" s="8" t="s">
        <v>3681</v>
      </c>
    </row>
    <row r="3722" spans="1:2" x14ac:dyDescent="0.3">
      <c r="A3722" s="5" t="str">
        <f>HYPERLINK("http://www.eatonpowersource.com/products/configure/industrial%20valves/details/02-339871","02-339871")</f>
        <v>02-339871</v>
      </c>
      <c r="B3722" s="6" t="s">
        <v>3682</v>
      </c>
    </row>
    <row r="3723" spans="1:2" x14ac:dyDescent="0.3">
      <c r="A3723" s="7" t="str">
        <f>HYPERLINK("http://www.eatonpowersource.com/products/configure/industrial%20valves/details/02-339886","02-339886")</f>
        <v>02-339886</v>
      </c>
      <c r="B3723" s="8" t="s">
        <v>3683</v>
      </c>
    </row>
    <row r="3724" spans="1:2" x14ac:dyDescent="0.3">
      <c r="A3724" s="5" t="str">
        <f>HYPERLINK("http://www.eatonpowersource.com/products/configure/industrial%20valves/details/02-342419","02-342419")</f>
        <v>02-342419</v>
      </c>
      <c r="B3724" s="6" t="s">
        <v>3684</v>
      </c>
    </row>
    <row r="3725" spans="1:2" x14ac:dyDescent="0.3">
      <c r="A3725" s="7" t="str">
        <f>HYPERLINK("http://www.eatonpowersource.com/products/configure/industrial%20valves/details/02-342517","02-342517")</f>
        <v>02-342517</v>
      </c>
      <c r="B3725" s="8" t="s">
        <v>3685</v>
      </c>
    </row>
    <row r="3726" spans="1:2" x14ac:dyDescent="0.3">
      <c r="A3726" s="5" t="str">
        <f>HYPERLINK("http://www.eatonpowersource.com/products/configure/industrial%20valves/details/02-343380","02-343380")</f>
        <v>02-343380</v>
      </c>
      <c r="B3726" s="6" t="s">
        <v>3686</v>
      </c>
    </row>
    <row r="3727" spans="1:2" x14ac:dyDescent="0.3">
      <c r="A3727" s="7" t="str">
        <f>HYPERLINK("http://www.eatonpowersource.com/products/configure/industrial%20valves/details/02-343631","02-343631")</f>
        <v>02-343631</v>
      </c>
      <c r="B3727" s="8" t="s">
        <v>3687</v>
      </c>
    </row>
    <row r="3728" spans="1:2" x14ac:dyDescent="0.3">
      <c r="A3728" s="5" t="str">
        <f>HYPERLINK("http://www.eatonpowersource.com/products/configure/industrial%20valves/details/02-344058","02-344058")</f>
        <v>02-344058</v>
      </c>
      <c r="B3728" s="6" t="s">
        <v>3688</v>
      </c>
    </row>
    <row r="3729" spans="1:2" x14ac:dyDescent="0.3">
      <c r="A3729" s="7" t="str">
        <f>HYPERLINK("http://www.eatonpowersource.com/products/configure/industrial%20valves/details/02-344333","02-344333")</f>
        <v>02-344333</v>
      </c>
      <c r="B3729" s="8" t="s">
        <v>3689</v>
      </c>
    </row>
    <row r="3730" spans="1:2" x14ac:dyDescent="0.3">
      <c r="A3730" s="5" t="str">
        <f>HYPERLINK("http://www.eatonpowersource.com/products/configure/industrial%20valves/details/02-344392","02-344392")</f>
        <v>02-344392</v>
      </c>
      <c r="B3730" s="6" t="s">
        <v>3690</v>
      </c>
    </row>
    <row r="3731" spans="1:2" x14ac:dyDescent="0.3">
      <c r="A3731" s="7" t="str">
        <f>HYPERLINK("http://www.eatonpowersource.com/products/configure/industrial%20valves/details/02-344693","02-344693")</f>
        <v>02-344693</v>
      </c>
      <c r="B3731" s="8" t="s">
        <v>3691</v>
      </c>
    </row>
    <row r="3732" spans="1:2" x14ac:dyDescent="0.3">
      <c r="A3732" s="5" t="str">
        <f>HYPERLINK("http://www.eatonpowersource.com/products/configure/industrial%20valves/details/02-344698","02-344698")</f>
        <v>02-344698</v>
      </c>
      <c r="B3732" s="6" t="s">
        <v>3692</v>
      </c>
    </row>
    <row r="3733" spans="1:2" x14ac:dyDescent="0.3">
      <c r="A3733" s="7" t="str">
        <f>HYPERLINK("http://www.eatonpowersource.com/products/configure/industrial%20valves/details/02-344718","02-344718")</f>
        <v>02-344718</v>
      </c>
      <c r="B3733" s="8" t="s">
        <v>3693</v>
      </c>
    </row>
    <row r="3734" spans="1:2" x14ac:dyDescent="0.3">
      <c r="A3734" s="5" t="str">
        <f>HYPERLINK("http://www.eatonpowersource.com/products/configure/industrial%20valves/details/02-344733","02-344733")</f>
        <v>02-344733</v>
      </c>
      <c r="B3734" s="6" t="s">
        <v>3694</v>
      </c>
    </row>
    <row r="3735" spans="1:2" x14ac:dyDescent="0.3">
      <c r="A3735" s="7" t="str">
        <f>HYPERLINK("http://www.eatonpowersource.com/products/configure/industrial%20valves/details/02-344750","02-344750")</f>
        <v>02-344750</v>
      </c>
      <c r="B3735" s="8" t="s">
        <v>3695</v>
      </c>
    </row>
    <row r="3736" spans="1:2" x14ac:dyDescent="0.3">
      <c r="A3736" s="5" t="str">
        <f>HYPERLINK("http://www.eatonpowersource.com/products/configure/industrial%20valves/details/02-344949","02-344949")</f>
        <v>02-344949</v>
      </c>
      <c r="B3736" s="6" t="s">
        <v>3696</v>
      </c>
    </row>
    <row r="3737" spans="1:2" x14ac:dyDescent="0.3">
      <c r="A3737" s="7" t="str">
        <f>HYPERLINK("http://www.eatonpowersource.com/products/configure/industrial%20valves/details/02-350288","02-350288")</f>
        <v>02-350288</v>
      </c>
      <c r="B3737" s="8" t="s">
        <v>3697</v>
      </c>
    </row>
    <row r="3738" spans="1:2" x14ac:dyDescent="0.3">
      <c r="A3738" s="5" t="str">
        <f>HYPERLINK("http://www.eatonpowersource.com/products/configure/industrial%20valves/details/02-350317","02-350317")</f>
        <v>02-350317</v>
      </c>
      <c r="B3738" s="6" t="s">
        <v>3698</v>
      </c>
    </row>
    <row r="3739" spans="1:2" x14ac:dyDescent="0.3">
      <c r="A3739" s="7" t="str">
        <f>HYPERLINK("http://www.eatonpowersource.com/products/configure/industrial%20valves/details/02-350372","02-350372")</f>
        <v>02-350372</v>
      </c>
      <c r="B3739" s="8" t="s">
        <v>3699</v>
      </c>
    </row>
    <row r="3740" spans="1:2" x14ac:dyDescent="0.3">
      <c r="A3740" s="5" t="str">
        <f>HYPERLINK("http://www.eatonpowersource.com/products/configure/industrial%20valves/details/02-350591","02-350591")</f>
        <v>02-350591</v>
      </c>
      <c r="B3740" s="6" t="s">
        <v>3700</v>
      </c>
    </row>
    <row r="3741" spans="1:2" x14ac:dyDescent="0.3">
      <c r="A3741" s="7" t="str">
        <f>HYPERLINK("http://www.eatonpowersource.com/products/configure/industrial%20valves/details/02-350825","02-350825")</f>
        <v>02-350825</v>
      </c>
      <c r="B3741" s="8" t="s">
        <v>3701</v>
      </c>
    </row>
    <row r="3742" spans="1:2" x14ac:dyDescent="0.3">
      <c r="A3742" s="5" t="str">
        <f>HYPERLINK("http://www.eatonpowersource.com/products/configure/industrial%20valves/details/02-350842","02-350842")</f>
        <v>02-350842</v>
      </c>
      <c r="B3742" s="6" t="s">
        <v>3702</v>
      </c>
    </row>
    <row r="3743" spans="1:2" x14ac:dyDescent="0.3">
      <c r="A3743" s="7" t="str">
        <f>HYPERLINK("http://www.eatonpowersource.com/products/configure/industrial%20valves/details/02-350964","02-350964")</f>
        <v>02-350964</v>
      </c>
      <c r="B3743" s="8" t="s">
        <v>3703</v>
      </c>
    </row>
    <row r="3744" spans="1:2" x14ac:dyDescent="0.3">
      <c r="A3744" s="5" t="str">
        <f>HYPERLINK("http://www.eatonpowersource.com/products/configure/industrial%20valves/details/02-350975","02-350975")</f>
        <v>02-350975</v>
      </c>
      <c r="B3744" s="6" t="s">
        <v>3704</v>
      </c>
    </row>
    <row r="3745" spans="1:2" x14ac:dyDescent="0.3">
      <c r="A3745" s="7" t="str">
        <f>HYPERLINK("http://www.eatonpowersource.com/products/configure/industrial%20valves/details/02-351553","02-351553")</f>
        <v>02-351553</v>
      </c>
      <c r="B3745" s="8" t="s">
        <v>3705</v>
      </c>
    </row>
    <row r="3746" spans="1:2" x14ac:dyDescent="0.3">
      <c r="A3746" s="5" t="str">
        <f>HYPERLINK("http://www.eatonpowersource.com/products/configure/industrial%20valves/details/02-351846","02-351846")</f>
        <v>02-351846</v>
      </c>
      <c r="B3746" s="6" t="s">
        <v>3706</v>
      </c>
    </row>
    <row r="3747" spans="1:2" x14ac:dyDescent="0.3">
      <c r="A3747" s="7" t="str">
        <f>HYPERLINK("http://www.eatonpowersource.com/products/configure/industrial%20valves/details/02-351987","02-351987")</f>
        <v>02-351987</v>
      </c>
      <c r="B3747" s="8" t="s">
        <v>3707</v>
      </c>
    </row>
    <row r="3748" spans="1:2" x14ac:dyDescent="0.3">
      <c r="A3748" s="5" t="str">
        <f>HYPERLINK("http://www.eatonpowersource.com/products/configure/industrial%20valves/details/02-352018","02-352018")</f>
        <v>02-352018</v>
      </c>
      <c r="B3748" s="6" t="s">
        <v>3708</v>
      </c>
    </row>
    <row r="3749" spans="1:2" x14ac:dyDescent="0.3">
      <c r="A3749" s="7" t="str">
        <f>HYPERLINK("http://www.eatonpowersource.com/products/configure/industrial%20valves/details/02-352023","02-352023")</f>
        <v>02-352023</v>
      </c>
      <c r="B3749" s="8" t="s">
        <v>3709</v>
      </c>
    </row>
    <row r="3750" spans="1:2" x14ac:dyDescent="0.3">
      <c r="A3750" s="5" t="str">
        <f>HYPERLINK("http://www.eatonpowersource.com/products/configure/industrial%20valves/details/02-352082","02-352082")</f>
        <v>02-352082</v>
      </c>
      <c r="B3750" s="6" t="s">
        <v>3710</v>
      </c>
    </row>
    <row r="3751" spans="1:2" x14ac:dyDescent="0.3">
      <c r="A3751" s="7" t="str">
        <f>HYPERLINK("http://www.eatonpowersource.com/products/configure/industrial%20valves/details/02-352162","02-352162")</f>
        <v>02-352162</v>
      </c>
      <c r="B3751" s="8" t="s">
        <v>3711</v>
      </c>
    </row>
    <row r="3752" spans="1:2" x14ac:dyDescent="0.3">
      <c r="A3752" s="5" t="str">
        <f>HYPERLINK("http://www.eatonpowersource.com/products/configure/industrial%20valves/details/02-352320","02-352320")</f>
        <v>02-352320</v>
      </c>
      <c r="B3752" s="6" t="s">
        <v>3712</v>
      </c>
    </row>
    <row r="3753" spans="1:2" x14ac:dyDescent="0.3">
      <c r="A3753" s="7" t="str">
        <f>HYPERLINK("http://www.eatonpowersource.com/products/configure/industrial%20valves/details/02-352975","02-352975")</f>
        <v>02-352975</v>
      </c>
      <c r="B3753" s="8" t="s">
        <v>3713</v>
      </c>
    </row>
    <row r="3754" spans="1:2" x14ac:dyDescent="0.3">
      <c r="A3754" s="5" t="str">
        <f>HYPERLINK("http://www.eatonpowersource.com/products/configure/industrial%20valves/details/02-352983","02-352983")</f>
        <v>02-352983</v>
      </c>
      <c r="B3754" s="6" t="s">
        <v>3714</v>
      </c>
    </row>
    <row r="3755" spans="1:2" x14ac:dyDescent="0.3">
      <c r="A3755" s="7" t="str">
        <f>HYPERLINK("http://www.eatonpowersource.com/products/configure/industrial%20valves/details/02-352984","02-352984")</f>
        <v>02-352984</v>
      </c>
      <c r="B3755" s="8" t="s">
        <v>3715</v>
      </c>
    </row>
    <row r="3756" spans="1:2" x14ac:dyDescent="0.3">
      <c r="A3756" s="5" t="str">
        <f>HYPERLINK("http://www.eatonpowersource.com/products/configure/industrial%20valves/details/02-353528","02-353528")</f>
        <v>02-353528</v>
      </c>
      <c r="B3756" s="6" t="s">
        <v>3716</v>
      </c>
    </row>
    <row r="3757" spans="1:2" x14ac:dyDescent="0.3">
      <c r="A3757" s="7" t="str">
        <f>HYPERLINK("http://www.eatonpowersource.com/products/configure/industrial%20valves/details/02-355637","02-355637")</f>
        <v>02-355637</v>
      </c>
      <c r="B3757" s="8" t="s">
        <v>3717</v>
      </c>
    </row>
    <row r="3758" spans="1:2" x14ac:dyDescent="0.3">
      <c r="A3758" s="5" t="str">
        <f>HYPERLINK("http://www.eatonpowersource.com/products/configure/industrial%20valves/details/02-356145","02-356145")</f>
        <v>02-356145</v>
      </c>
      <c r="B3758" s="6" t="s">
        <v>3718</v>
      </c>
    </row>
    <row r="3759" spans="1:2" x14ac:dyDescent="0.3">
      <c r="A3759" s="7" t="str">
        <f>HYPERLINK("http://www.eatonpowersource.com/products/configure/industrial%20valves/details/02-356230","02-356230")</f>
        <v>02-356230</v>
      </c>
      <c r="B3759" s="8" t="s">
        <v>3719</v>
      </c>
    </row>
    <row r="3760" spans="1:2" x14ac:dyDescent="0.3">
      <c r="A3760" s="5" t="str">
        <f>HYPERLINK("http://www.eatonpowersource.com/products/configure/industrial%20valves/details/02-356231","02-356231")</f>
        <v>02-356231</v>
      </c>
      <c r="B3760" s="6" t="s">
        <v>3720</v>
      </c>
    </row>
    <row r="3761" spans="1:2" x14ac:dyDescent="0.3">
      <c r="A3761" s="7" t="str">
        <f>HYPERLINK("http://www.eatonpowersource.com/products/configure/industrial%20valves/details/02-356267","02-356267")</f>
        <v>02-356267</v>
      </c>
      <c r="B3761" s="8" t="s">
        <v>3721</v>
      </c>
    </row>
    <row r="3762" spans="1:2" x14ac:dyDescent="0.3">
      <c r="A3762" s="5" t="str">
        <f>HYPERLINK("http://www.eatonpowersource.com/products/configure/industrial%20valves/details/02-356854","02-356854")</f>
        <v>02-356854</v>
      </c>
      <c r="B3762" s="6" t="s">
        <v>3722</v>
      </c>
    </row>
    <row r="3763" spans="1:2" x14ac:dyDescent="0.3">
      <c r="A3763" s="7" t="str">
        <f>HYPERLINK("http://www.eatonpowersource.com/products/configure/industrial%20valves/details/02-357131","02-357131")</f>
        <v>02-357131</v>
      </c>
      <c r="B3763" s="8" t="s">
        <v>3723</v>
      </c>
    </row>
    <row r="3764" spans="1:2" x14ac:dyDescent="0.3">
      <c r="A3764" s="5" t="str">
        <f>HYPERLINK("http://www.eatonpowersource.com/products/configure/industrial%20valves/details/02-357537","02-357537")</f>
        <v>02-357537</v>
      </c>
      <c r="B3764" s="6" t="s">
        <v>3724</v>
      </c>
    </row>
    <row r="3765" spans="1:2" x14ac:dyDescent="0.3">
      <c r="A3765" s="7" t="str">
        <f>HYPERLINK("http://www.eatonpowersource.com/products/configure/industrial%20valves/details/02-357585","02-357585")</f>
        <v>02-357585</v>
      </c>
      <c r="B3765" s="8" t="s">
        <v>3725</v>
      </c>
    </row>
    <row r="3766" spans="1:2" x14ac:dyDescent="0.3">
      <c r="A3766" s="5" t="str">
        <f>HYPERLINK("http://www.eatonpowersource.com/products/configure/industrial%20valves/details/02-357887","02-357887")</f>
        <v>02-357887</v>
      </c>
      <c r="B3766" s="6" t="s">
        <v>3726</v>
      </c>
    </row>
    <row r="3767" spans="1:2" x14ac:dyDescent="0.3">
      <c r="A3767" s="7" t="str">
        <f>HYPERLINK("http://www.eatonpowersource.com/products/configure/industrial%20valves/details/02-358025","02-358025")</f>
        <v>02-358025</v>
      </c>
      <c r="B3767" s="8" t="s">
        <v>3727</v>
      </c>
    </row>
    <row r="3768" spans="1:2" x14ac:dyDescent="0.3">
      <c r="A3768" s="5" t="str">
        <f>HYPERLINK("http://www.eatonpowersource.com/products/configure/industrial%20valves/details/02-358048","02-358048")</f>
        <v>02-358048</v>
      </c>
      <c r="B3768" s="6" t="s">
        <v>3728</v>
      </c>
    </row>
    <row r="3769" spans="1:2" x14ac:dyDescent="0.3">
      <c r="A3769" s="7" t="str">
        <f>HYPERLINK("http://www.eatonpowersource.com/products/configure/industrial%20valves/details/02-358050","02-358050")</f>
        <v>02-358050</v>
      </c>
      <c r="B3769" s="8" t="s">
        <v>3729</v>
      </c>
    </row>
    <row r="3770" spans="1:2" x14ac:dyDescent="0.3">
      <c r="A3770" s="5" t="str">
        <f>HYPERLINK("http://www.eatonpowersource.com/products/configure/industrial%20valves/details/02-358136","02-358136")</f>
        <v>02-358136</v>
      </c>
      <c r="B3770" s="6" t="s">
        <v>3730</v>
      </c>
    </row>
    <row r="3771" spans="1:2" x14ac:dyDescent="0.3">
      <c r="A3771" s="7" t="str">
        <f>HYPERLINK("http://www.eatonpowersource.com/products/configure/industrial%20valves/details/02-358161","02-358161")</f>
        <v>02-358161</v>
      </c>
      <c r="B3771" s="8" t="s">
        <v>3731</v>
      </c>
    </row>
    <row r="3772" spans="1:2" x14ac:dyDescent="0.3">
      <c r="A3772" s="5" t="str">
        <f>HYPERLINK("http://www.eatonpowersource.com/products/configure/industrial%20valves/details/02-358199","02-358199")</f>
        <v>02-358199</v>
      </c>
      <c r="B3772" s="6" t="s">
        <v>3732</v>
      </c>
    </row>
    <row r="3773" spans="1:2" x14ac:dyDescent="0.3">
      <c r="A3773" s="7" t="str">
        <f>HYPERLINK("http://www.eatonpowersource.com/products/configure/industrial%20valves/details/02-358229","02-358229")</f>
        <v>02-358229</v>
      </c>
      <c r="B3773" s="8" t="s">
        <v>3733</v>
      </c>
    </row>
    <row r="3774" spans="1:2" x14ac:dyDescent="0.3">
      <c r="A3774" s="5" t="str">
        <f>HYPERLINK("http://www.eatonpowersource.com/products/configure/industrial%20valves/details/02-358370","02-358370")</f>
        <v>02-358370</v>
      </c>
      <c r="B3774" s="6" t="s">
        <v>3734</v>
      </c>
    </row>
    <row r="3775" spans="1:2" x14ac:dyDescent="0.3">
      <c r="A3775" s="7" t="str">
        <f>HYPERLINK("http://www.eatonpowersource.com/products/configure/industrial%20valves/details/02-358558","02-358558")</f>
        <v>02-358558</v>
      </c>
      <c r="B3775" s="8" t="s">
        <v>3735</v>
      </c>
    </row>
    <row r="3776" spans="1:2" x14ac:dyDescent="0.3">
      <c r="A3776" s="5" t="str">
        <f>HYPERLINK("http://www.eatonpowersource.com/products/configure/industrial%20valves/details/02-358669","02-358669")</f>
        <v>02-358669</v>
      </c>
      <c r="B3776" s="6" t="s">
        <v>3736</v>
      </c>
    </row>
    <row r="3777" spans="1:2" x14ac:dyDescent="0.3">
      <c r="A3777" s="7" t="str">
        <f>HYPERLINK("http://www.eatonpowersource.com/products/configure/industrial%20valves/details/02-358775","02-358775")</f>
        <v>02-358775</v>
      </c>
      <c r="B3777" s="8" t="s">
        <v>3737</v>
      </c>
    </row>
    <row r="3778" spans="1:2" x14ac:dyDescent="0.3">
      <c r="A3778" s="5" t="str">
        <f>HYPERLINK("http://www.eatonpowersource.com/products/configure/industrial%20valves/details/02-358832","02-358832")</f>
        <v>02-358832</v>
      </c>
      <c r="B3778" s="6" t="s">
        <v>3738</v>
      </c>
    </row>
    <row r="3779" spans="1:2" x14ac:dyDescent="0.3">
      <c r="A3779" s="7" t="str">
        <f>HYPERLINK("http://www.eatonpowersource.com/products/configure/industrial%20valves/details/02-359012","02-359012")</f>
        <v>02-359012</v>
      </c>
      <c r="B3779" s="8" t="s">
        <v>3739</v>
      </c>
    </row>
    <row r="3780" spans="1:2" x14ac:dyDescent="0.3">
      <c r="A3780" s="5" t="str">
        <f>HYPERLINK("http://www.eatonpowersource.com/products/configure/industrial%20valves/details/02-359048","02-359048")</f>
        <v>02-359048</v>
      </c>
      <c r="B3780" s="6" t="s">
        <v>3740</v>
      </c>
    </row>
    <row r="3781" spans="1:2" x14ac:dyDescent="0.3">
      <c r="A3781" s="7" t="str">
        <f>HYPERLINK("http://www.eatonpowersource.com/products/configure/industrial%20valves/details/02-359063","02-359063")</f>
        <v>02-359063</v>
      </c>
      <c r="B3781" s="8" t="s">
        <v>3741</v>
      </c>
    </row>
    <row r="3782" spans="1:2" x14ac:dyDescent="0.3">
      <c r="A3782" s="5" t="str">
        <f>HYPERLINK("http://www.eatonpowersource.com/products/configure/industrial%20valves/details/02-359131","02-359131")</f>
        <v>02-359131</v>
      </c>
      <c r="B3782" s="6" t="s">
        <v>3742</v>
      </c>
    </row>
    <row r="3783" spans="1:2" x14ac:dyDescent="0.3">
      <c r="A3783" s="7" t="str">
        <f>HYPERLINK("http://www.eatonpowersource.com/products/configure/industrial%20valves/details/02-359408","02-359408")</f>
        <v>02-359408</v>
      </c>
      <c r="B3783" s="8" t="s">
        <v>3743</v>
      </c>
    </row>
    <row r="3784" spans="1:2" x14ac:dyDescent="0.3">
      <c r="A3784" s="5" t="str">
        <f>HYPERLINK("http://www.eatonpowersource.com/products/configure/industrial%20valves/details/02-359415","02-359415")</f>
        <v>02-359415</v>
      </c>
      <c r="B3784" s="6" t="s">
        <v>3744</v>
      </c>
    </row>
    <row r="3785" spans="1:2" x14ac:dyDescent="0.3">
      <c r="A3785" s="7" t="str">
        <f>HYPERLINK("http://www.eatonpowersource.com/products/configure/industrial%20valves/details/02-359416","02-359416")</f>
        <v>02-359416</v>
      </c>
      <c r="B3785" s="8" t="s">
        <v>3745</v>
      </c>
    </row>
    <row r="3786" spans="1:2" x14ac:dyDescent="0.3">
      <c r="A3786" s="5" t="str">
        <f>HYPERLINK("http://www.eatonpowersource.com/products/configure/industrial%20valves/details/02-359480","02-359480")</f>
        <v>02-359480</v>
      </c>
      <c r="B3786" s="6" t="s">
        <v>3746</v>
      </c>
    </row>
    <row r="3787" spans="1:2" x14ac:dyDescent="0.3">
      <c r="A3787" s="7" t="str">
        <f>HYPERLINK("http://www.eatonpowersource.com/products/configure/industrial%20valves/details/02-359850","02-359850")</f>
        <v>02-359850</v>
      </c>
      <c r="B3787" s="8" t="s">
        <v>3747</v>
      </c>
    </row>
    <row r="3788" spans="1:2" x14ac:dyDescent="0.3">
      <c r="A3788" s="5" t="str">
        <f>HYPERLINK("http://www.eatonpowersource.com/products/configure/industrial%20valves/details/02-360052","02-360052")</f>
        <v>02-360052</v>
      </c>
      <c r="B3788" s="6" t="s">
        <v>3748</v>
      </c>
    </row>
    <row r="3789" spans="1:2" x14ac:dyDescent="0.3">
      <c r="A3789" s="7" t="str">
        <f>HYPERLINK("http://www.eatonpowersource.com/products/configure/industrial%20valves/details/02-360054","02-360054")</f>
        <v>02-360054</v>
      </c>
      <c r="B3789" s="8" t="s">
        <v>3749</v>
      </c>
    </row>
    <row r="3790" spans="1:2" x14ac:dyDescent="0.3">
      <c r="A3790" s="5" t="str">
        <f>HYPERLINK("http://www.eatonpowersource.com/products/configure/industrial%20valves/details/02-360355","02-360355")</f>
        <v>02-360355</v>
      </c>
      <c r="B3790" s="6" t="s">
        <v>3750</v>
      </c>
    </row>
    <row r="3791" spans="1:2" x14ac:dyDescent="0.3">
      <c r="A3791" s="7" t="str">
        <f>HYPERLINK("http://www.eatonpowersource.com/products/configure/industrial%20valves/details/02-360448","02-360448")</f>
        <v>02-360448</v>
      </c>
      <c r="B3791" s="8" t="s">
        <v>3751</v>
      </c>
    </row>
    <row r="3792" spans="1:2" x14ac:dyDescent="0.3">
      <c r="A3792" s="5" t="str">
        <f>HYPERLINK("http://www.eatonpowersource.com/products/configure/industrial%20valves/details/02-360691","02-360691")</f>
        <v>02-360691</v>
      </c>
      <c r="B3792" s="6" t="s">
        <v>3752</v>
      </c>
    </row>
    <row r="3793" spans="1:2" x14ac:dyDescent="0.3">
      <c r="A3793" s="7" t="str">
        <f>HYPERLINK("http://www.eatonpowersource.com/products/configure/industrial%20valves/details/02-361025","02-361025")</f>
        <v>02-361025</v>
      </c>
      <c r="B3793" s="8" t="s">
        <v>3753</v>
      </c>
    </row>
    <row r="3794" spans="1:2" x14ac:dyDescent="0.3">
      <c r="A3794" s="5" t="str">
        <f>HYPERLINK("http://www.eatonpowersource.com/products/configure/industrial%20valves/details/02-361028","02-361028")</f>
        <v>02-361028</v>
      </c>
      <c r="B3794" s="6" t="s">
        <v>3754</v>
      </c>
    </row>
    <row r="3795" spans="1:2" x14ac:dyDescent="0.3">
      <c r="A3795" s="7" t="str">
        <f>HYPERLINK("http://www.eatonpowersource.com/products/configure/industrial%20valves/details/02-361084","02-361084")</f>
        <v>02-361084</v>
      </c>
      <c r="B3795" s="8" t="s">
        <v>3755</v>
      </c>
    </row>
    <row r="3796" spans="1:2" x14ac:dyDescent="0.3">
      <c r="A3796" s="5" t="str">
        <f>HYPERLINK("http://www.eatonpowersource.com/products/configure/industrial%20valves/details/02-361275","02-361275")</f>
        <v>02-361275</v>
      </c>
      <c r="B3796" s="6" t="s">
        <v>3756</v>
      </c>
    </row>
    <row r="3797" spans="1:2" x14ac:dyDescent="0.3">
      <c r="A3797" s="7" t="str">
        <f>HYPERLINK("http://www.eatonpowersource.com/products/configure/industrial%20valves/details/02-361297","02-361297")</f>
        <v>02-361297</v>
      </c>
      <c r="B3797" s="8" t="s">
        <v>3757</v>
      </c>
    </row>
    <row r="3798" spans="1:2" x14ac:dyDescent="0.3">
      <c r="A3798" s="5" t="str">
        <f>HYPERLINK("http://www.eatonpowersource.com/products/configure/industrial%20valves/details/02-361905","02-361905")</f>
        <v>02-361905</v>
      </c>
      <c r="B3798" s="6" t="s">
        <v>3758</v>
      </c>
    </row>
    <row r="3799" spans="1:2" x14ac:dyDescent="0.3">
      <c r="A3799" s="7" t="str">
        <f>HYPERLINK("http://www.eatonpowersource.com/products/configure/industrial%20valves/details/02-362150","02-362150")</f>
        <v>02-362150</v>
      </c>
      <c r="B3799" s="8" t="s">
        <v>3759</v>
      </c>
    </row>
    <row r="3800" spans="1:2" x14ac:dyDescent="0.3">
      <c r="A3800" s="5" t="str">
        <f>HYPERLINK("http://www.eatonpowersource.com/products/configure/industrial%20valves/details/02-362359","02-362359")</f>
        <v>02-362359</v>
      </c>
      <c r="B3800" s="6" t="s">
        <v>3760</v>
      </c>
    </row>
    <row r="3801" spans="1:2" x14ac:dyDescent="0.3">
      <c r="A3801" s="7" t="str">
        <f>HYPERLINK("http://www.eatonpowersource.com/products/configure/industrial%20valves/details/02-362624","02-362624")</f>
        <v>02-362624</v>
      </c>
      <c r="B3801" s="8" t="s">
        <v>3761</v>
      </c>
    </row>
    <row r="3802" spans="1:2" x14ac:dyDescent="0.3">
      <c r="A3802" s="5" t="str">
        <f>HYPERLINK("http://www.eatonpowersource.com/products/configure/industrial%20valves/details/02-363276","02-363276")</f>
        <v>02-363276</v>
      </c>
      <c r="B3802" s="6" t="s">
        <v>3762</v>
      </c>
    </row>
    <row r="3803" spans="1:2" x14ac:dyDescent="0.3">
      <c r="A3803" s="7" t="str">
        <f>HYPERLINK("http://www.eatonpowersource.com/products/configure/industrial%20valves/details/02-363986","02-363986")</f>
        <v>02-363986</v>
      </c>
      <c r="B3803" s="8" t="s">
        <v>3763</v>
      </c>
    </row>
    <row r="3804" spans="1:2" x14ac:dyDescent="0.3">
      <c r="A3804" s="5" t="str">
        <f>HYPERLINK("http://www.eatonpowersource.com/products/configure/industrial%20valves/details/02-364413","02-364413")</f>
        <v>02-364413</v>
      </c>
      <c r="B3804" s="6" t="s">
        <v>3764</v>
      </c>
    </row>
    <row r="3805" spans="1:2" x14ac:dyDescent="0.3">
      <c r="A3805" s="7" t="str">
        <f>HYPERLINK("http://www.eatonpowersource.com/products/configure/industrial%20valves/details/02-364696","02-364696")</f>
        <v>02-364696</v>
      </c>
      <c r="B3805" s="8" t="s">
        <v>3765</v>
      </c>
    </row>
    <row r="3806" spans="1:2" x14ac:dyDescent="0.3">
      <c r="A3806" s="5" t="str">
        <f>HYPERLINK("http://www.eatonpowersource.com/products/configure/industrial%20valves/details/02-390112","02-390112")</f>
        <v>02-390112</v>
      </c>
      <c r="B3806" s="6" t="s">
        <v>3766</v>
      </c>
    </row>
    <row r="3807" spans="1:2" x14ac:dyDescent="0.3">
      <c r="A3807" s="7" t="str">
        <f>HYPERLINK("http://www.eatonpowersource.com/products/configure/industrial%20valves/details/02-390269","02-390269")</f>
        <v>02-390269</v>
      </c>
      <c r="B3807" s="8" t="s">
        <v>3767</v>
      </c>
    </row>
    <row r="3808" spans="1:2" x14ac:dyDescent="0.3">
      <c r="A3808" s="5" t="str">
        <f>HYPERLINK("http://www.eatonpowersource.com/products/configure/industrial%20valves/details/02-390273","02-390273")</f>
        <v>02-390273</v>
      </c>
      <c r="B3808" s="6" t="s">
        <v>3768</v>
      </c>
    </row>
    <row r="3809" spans="1:2" x14ac:dyDescent="0.3">
      <c r="A3809" s="7" t="str">
        <f>HYPERLINK("http://www.eatonpowersource.com/products/configure/industrial%20valves/details/02-390275","02-390275")</f>
        <v>02-390275</v>
      </c>
      <c r="B3809" s="8" t="s">
        <v>3769</v>
      </c>
    </row>
    <row r="3810" spans="1:2" x14ac:dyDescent="0.3">
      <c r="A3810" s="5" t="str">
        <f>HYPERLINK("http://www.eatonpowersource.com/products/configure/industrial%20valves/details/02-390557","02-390557")</f>
        <v>02-390557</v>
      </c>
      <c r="B3810" s="6" t="s">
        <v>3770</v>
      </c>
    </row>
    <row r="3811" spans="1:2" x14ac:dyDescent="0.3">
      <c r="A3811" s="7" t="str">
        <f>HYPERLINK("http://www.eatonpowersource.com/products/configure/industrial%20valves/details/02-390678","02-390678")</f>
        <v>02-390678</v>
      </c>
      <c r="B3811" s="8" t="s">
        <v>3771</v>
      </c>
    </row>
    <row r="3812" spans="1:2" x14ac:dyDescent="0.3">
      <c r="A3812" s="5" t="str">
        <f>HYPERLINK("http://www.eatonpowersource.com/products/configure/industrial%20valves/details/02-390707","02-390707")</f>
        <v>02-390707</v>
      </c>
      <c r="B3812" s="6" t="s">
        <v>3772</v>
      </c>
    </row>
    <row r="3813" spans="1:2" x14ac:dyDescent="0.3">
      <c r="A3813" s="7" t="str">
        <f>HYPERLINK("http://www.eatonpowersource.com/products/configure/industrial%20valves/details/02-391089","02-391089")</f>
        <v>02-391089</v>
      </c>
      <c r="B3813" s="8" t="s">
        <v>3773</v>
      </c>
    </row>
    <row r="3814" spans="1:2" x14ac:dyDescent="0.3">
      <c r="A3814" s="5" t="str">
        <f>HYPERLINK("http://www.eatonpowersource.com/products/configure/industrial%20valves/details/02-394291","02-394291")</f>
        <v>02-394291</v>
      </c>
      <c r="B3814" s="6" t="s">
        <v>3774</v>
      </c>
    </row>
    <row r="3815" spans="1:2" x14ac:dyDescent="0.3">
      <c r="A3815" s="7" t="str">
        <f>HYPERLINK("http://www.eatonpowersource.com/products/configure/industrial%20valves/details/02-394292","02-394292")</f>
        <v>02-394292</v>
      </c>
      <c r="B3815" s="8" t="s">
        <v>3775</v>
      </c>
    </row>
    <row r="3816" spans="1:2" x14ac:dyDescent="0.3">
      <c r="A3816" s="5" t="str">
        <f>HYPERLINK("http://www.eatonpowersource.com/products/configure/industrial%20valves/details/02-394805","02-394805")</f>
        <v>02-394805</v>
      </c>
      <c r="B3816" s="6" t="s">
        <v>3776</v>
      </c>
    </row>
    <row r="3817" spans="1:2" x14ac:dyDescent="0.3">
      <c r="A3817" s="7" t="str">
        <f>HYPERLINK("http://www.eatonpowersource.com/products/configure/industrial%20valves/details/02-395244","02-395244")</f>
        <v>02-395244</v>
      </c>
      <c r="B3817" s="8" t="s">
        <v>3777</v>
      </c>
    </row>
    <row r="3818" spans="1:2" x14ac:dyDescent="0.3">
      <c r="A3818" s="5" t="str">
        <f>HYPERLINK("http://www.eatonpowersource.com/products/configure/industrial%20valves/details/02-396415","02-396415")</f>
        <v>02-396415</v>
      </c>
      <c r="B3818" s="6" t="s">
        <v>3778</v>
      </c>
    </row>
    <row r="3819" spans="1:2" x14ac:dyDescent="0.3">
      <c r="A3819" s="7" t="str">
        <f>HYPERLINK("http://www.eatonpowersource.com/products/configure/industrial%20valves/details/02-396632","02-396632")</f>
        <v>02-396632</v>
      </c>
      <c r="B3819" s="8" t="s">
        <v>3779</v>
      </c>
    </row>
    <row r="3820" spans="1:2" x14ac:dyDescent="0.3">
      <c r="A3820" s="5" t="str">
        <f>HYPERLINK("http://www.eatonpowersource.com/products/configure/industrial%20valves/details/02-397050","02-397050")</f>
        <v>02-397050</v>
      </c>
      <c r="B3820" s="6" t="s">
        <v>3780</v>
      </c>
    </row>
    <row r="3821" spans="1:2" x14ac:dyDescent="0.3">
      <c r="A3821" s="7" t="str">
        <f>HYPERLINK("http://www.eatonpowersource.com/products/configure/industrial%20valves/details/02-397416","02-397416")</f>
        <v>02-397416</v>
      </c>
      <c r="B3821" s="8" t="s">
        <v>3781</v>
      </c>
    </row>
    <row r="3822" spans="1:2" x14ac:dyDescent="0.3">
      <c r="A3822" s="5" t="str">
        <f>HYPERLINK("http://www.eatonpowersource.com/products/configure/industrial%20valves/details/02-398039","02-398039")</f>
        <v>02-398039</v>
      </c>
      <c r="B3822" s="6" t="s">
        <v>3782</v>
      </c>
    </row>
    <row r="3823" spans="1:2" x14ac:dyDescent="0.3">
      <c r="A3823" s="7" t="str">
        <f>HYPERLINK("http://www.eatonpowersource.com/products/configure/industrial%20valves/details/02-398051","02-398051")</f>
        <v>02-398051</v>
      </c>
      <c r="B3823" s="8" t="s">
        <v>3783</v>
      </c>
    </row>
    <row r="3824" spans="1:2" x14ac:dyDescent="0.3">
      <c r="A3824" s="5" t="str">
        <f>HYPERLINK("http://www.eatonpowersource.com/products/configure/industrial%20valves/details/02-398499","02-398499")</f>
        <v>02-398499</v>
      </c>
      <c r="B3824" s="6" t="s">
        <v>3784</v>
      </c>
    </row>
    <row r="3825" spans="1:2" x14ac:dyDescent="0.3">
      <c r="A3825" s="7" t="str">
        <f>HYPERLINK("http://www.eatonpowersource.com/products/configure/industrial%20valves/details/02-399060","02-399060")</f>
        <v>02-399060</v>
      </c>
      <c r="B3825" s="8" t="s">
        <v>3785</v>
      </c>
    </row>
    <row r="3826" spans="1:2" x14ac:dyDescent="0.3">
      <c r="A3826" s="5" t="str">
        <f>HYPERLINK("http://www.eatonpowersource.com/products/configure/industrial%20valves/details/02-399061","02-399061")</f>
        <v>02-399061</v>
      </c>
      <c r="B3826" s="6" t="s">
        <v>3786</v>
      </c>
    </row>
    <row r="3827" spans="1:2" x14ac:dyDescent="0.3">
      <c r="A3827" s="7" t="str">
        <f>HYPERLINK("http://www.eatonpowersource.com/products/configure/industrial%20valves/details/02-399063","02-399063")</f>
        <v>02-399063</v>
      </c>
      <c r="B3827" s="8" t="s">
        <v>3787</v>
      </c>
    </row>
    <row r="3828" spans="1:2" x14ac:dyDescent="0.3">
      <c r="A3828" s="5" t="str">
        <f>HYPERLINK("http://www.eatonpowersource.com/products/configure/industrial%20valves/details/02-399066","02-399066")</f>
        <v>02-399066</v>
      </c>
      <c r="B3828" s="6" t="s">
        <v>3788</v>
      </c>
    </row>
    <row r="3829" spans="1:2" x14ac:dyDescent="0.3">
      <c r="A3829" s="7" t="str">
        <f>HYPERLINK("http://www.eatonpowersource.com/products/configure/industrial%20valves/details/02-399067","02-399067")</f>
        <v>02-399067</v>
      </c>
      <c r="B3829" s="8" t="s">
        <v>3789</v>
      </c>
    </row>
    <row r="3830" spans="1:2" x14ac:dyDescent="0.3">
      <c r="A3830" s="5" t="str">
        <f>HYPERLINK("http://www.eatonpowersource.com/products/configure/industrial%20valves/details/02-399068","02-399068")</f>
        <v>02-399068</v>
      </c>
      <c r="B3830" s="6" t="s">
        <v>3790</v>
      </c>
    </row>
    <row r="3831" spans="1:2" x14ac:dyDescent="0.3">
      <c r="A3831" s="7" t="str">
        <f>HYPERLINK("http://www.eatonpowersource.com/products/configure/industrial%20valves/details/02-399069","02-399069")</f>
        <v>02-399069</v>
      </c>
      <c r="B3831" s="8" t="s">
        <v>3791</v>
      </c>
    </row>
    <row r="3832" spans="1:2" x14ac:dyDescent="0.3">
      <c r="A3832" s="5" t="str">
        <f>HYPERLINK("http://www.eatonpowersource.com/products/configure/industrial%20valves/details/02-399070","02-399070")</f>
        <v>02-399070</v>
      </c>
      <c r="B3832" s="6" t="s">
        <v>3792</v>
      </c>
    </row>
    <row r="3833" spans="1:2" x14ac:dyDescent="0.3">
      <c r="A3833" s="7" t="str">
        <f>HYPERLINK("http://www.eatonpowersource.com/products/configure/industrial%20valves/details/02-399071","02-399071")</f>
        <v>02-399071</v>
      </c>
      <c r="B3833" s="8" t="s">
        <v>3793</v>
      </c>
    </row>
    <row r="3834" spans="1:2" x14ac:dyDescent="0.3">
      <c r="A3834" s="5" t="str">
        <f>HYPERLINK("http://www.eatonpowersource.com/products/configure/industrial%20valves/details/02-399072","02-399072")</f>
        <v>02-399072</v>
      </c>
      <c r="B3834" s="6" t="s">
        <v>3794</v>
      </c>
    </row>
    <row r="3835" spans="1:2" x14ac:dyDescent="0.3">
      <c r="A3835" s="7" t="str">
        <f>HYPERLINK("http://www.eatonpowersource.com/products/configure/industrial%20valves/details/02-399073","02-399073")</f>
        <v>02-399073</v>
      </c>
      <c r="B3835" s="8" t="s">
        <v>3795</v>
      </c>
    </row>
    <row r="3836" spans="1:2" x14ac:dyDescent="0.3">
      <c r="A3836" s="5" t="str">
        <f>HYPERLINK("http://www.eatonpowersource.com/products/configure/industrial%20valves/details/02-399074","02-399074")</f>
        <v>02-399074</v>
      </c>
      <c r="B3836" s="6" t="s">
        <v>3796</v>
      </c>
    </row>
    <row r="3837" spans="1:2" x14ac:dyDescent="0.3">
      <c r="A3837" s="7" t="str">
        <f>HYPERLINK("http://www.eatonpowersource.com/products/configure/industrial%20valves/details/02-399076","02-399076")</f>
        <v>02-399076</v>
      </c>
      <c r="B3837" s="8" t="s">
        <v>3797</v>
      </c>
    </row>
    <row r="3838" spans="1:2" x14ac:dyDescent="0.3">
      <c r="A3838" s="5" t="str">
        <f>HYPERLINK("http://www.eatonpowersource.com/products/configure/industrial%20valves/details/02-399078","02-399078")</f>
        <v>02-399078</v>
      </c>
      <c r="B3838" s="6" t="s">
        <v>3798</v>
      </c>
    </row>
    <row r="3839" spans="1:2" x14ac:dyDescent="0.3">
      <c r="A3839" s="7" t="str">
        <f>HYPERLINK("http://www.eatonpowersource.com/products/configure/industrial%20valves/details/02-399079","02-399079")</f>
        <v>02-399079</v>
      </c>
      <c r="B3839" s="8" t="s">
        <v>3799</v>
      </c>
    </row>
    <row r="3840" spans="1:2" x14ac:dyDescent="0.3">
      <c r="A3840" s="5" t="str">
        <f>HYPERLINK("http://www.eatonpowersource.com/products/configure/industrial%20valves/details/02-399080","02-399080")</f>
        <v>02-399080</v>
      </c>
      <c r="B3840" s="6" t="s">
        <v>3800</v>
      </c>
    </row>
    <row r="3841" spans="1:2" x14ac:dyDescent="0.3">
      <c r="A3841" s="7" t="str">
        <f>HYPERLINK("http://www.eatonpowersource.com/products/configure/industrial%20valves/details/02-399082","02-399082")</f>
        <v>02-399082</v>
      </c>
      <c r="B3841" s="8" t="s">
        <v>3801</v>
      </c>
    </row>
    <row r="3842" spans="1:2" x14ac:dyDescent="0.3">
      <c r="A3842" s="5" t="str">
        <f>HYPERLINK("http://www.eatonpowersource.com/products/configure/industrial%20valves/details/02-399083","02-399083")</f>
        <v>02-399083</v>
      </c>
      <c r="B3842" s="6" t="s">
        <v>3802</v>
      </c>
    </row>
    <row r="3843" spans="1:2" x14ac:dyDescent="0.3">
      <c r="A3843" s="7" t="str">
        <f>HYPERLINK("http://www.eatonpowersource.com/products/configure/industrial%20valves/details/02-399084","02-399084")</f>
        <v>02-399084</v>
      </c>
      <c r="B3843" s="8" t="s">
        <v>3803</v>
      </c>
    </row>
    <row r="3844" spans="1:2" x14ac:dyDescent="0.3">
      <c r="A3844" s="5" t="str">
        <f>HYPERLINK("http://www.eatonpowersource.com/products/configure/industrial%20valves/details/02-399085","02-399085")</f>
        <v>02-399085</v>
      </c>
      <c r="B3844" s="6" t="s">
        <v>3804</v>
      </c>
    </row>
    <row r="3845" spans="1:2" x14ac:dyDescent="0.3">
      <c r="A3845" s="7" t="str">
        <f>HYPERLINK("http://www.eatonpowersource.com/products/configure/industrial%20valves/details/02-399086","02-399086")</f>
        <v>02-399086</v>
      </c>
      <c r="B3845" s="8" t="s">
        <v>3805</v>
      </c>
    </row>
    <row r="3846" spans="1:2" x14ac:dyDescent="0.3">
      <c r="A3846" s="5" t="str">
        <f>HYPERLINK("http://www.eatonpowersource.com/products/configure/industrial%20valves/details/02-399087","02-399087")</f>
        <v>02-399087</v>
      </c>
      <c r="B3846" s="6" t="s">
        <v>3806</v>
      </c>
    </row>
    <row r="3847" spans="1:2" x14ac:dyDescent="0.3">
      <c r="A3847" s="7" t="str">
        <f>HYPERLINK("http://www.eatonpowersource.com/products/configure/industrial%20valves/details/02-399088","02-399088")</f>
        <v>02-399088</v>
      </c>
      <c r="B3847" s="8" t="s">
        <v>3807</v>
      </c>
    </row>
    <row r="3848" spans="1:2" x14ac:dyDescent="0.3">
      <c r="A3848" s="5" t="str">
        <f>HYPERLINK("http://www.eatonpowersource.com/products/configure/industrial%20valves/details/02-399158","02-399158")</f>
        <v>02-399158</v>
      </c>
      <c r="B3848" s="6" t="s">
        <v>3808</v>
      </c>
    </row>
    <row r="3849" spans="1:2" x14ac:dyDescent="0.3">
      <c r="A3849" s="7" t="str">
        <f>HYPERLINK("http://www.eatonpowersource.com/products/configure/industrial%20valves/details/02-399435","02-399435")</f>
        <v>02-399435</v>
      </c>
      <c r="B3849" s="8" t="s">
        <v>3809</v>
      </c>
    </row>
    <row r="3850" spans="1:2" x14ac:dyDescent="0.3">
      <c r="A3850" s="5" t="str">
        <f>HYPERLINK("http://www.eatonpowersource.com/products/configure/industrial%20valves/details/02-400538","02-400538")</f>
        <v>02-400538</v>
      </c>
      <c r="B3850" s="6" t="s">
        <v>3810</v>
      </c>
    </row>
    <row r="3851" spans="1:2" x14ac:dyDescent="0.3">
      <c r="A3851" s="7" t="str">
        <f>HYPERLINK("http://www.eatonpowersource.com/products/configure/industrial%20valves/details/02-400539","02-400539")</f>
        <v>02-400539</v>
      </c>
      <c r="B3851" s="8" t="s">
        <v>3811</v>
      </c>
    </row>
    <row r="3852" spans="1:2" x14ac:dyDescent="0.3">
      <c r="A3852" s="5" t="str">
        <f>HYPERLINK("http://www.eatonpowersource.com/products/configure/industrial%20valves/details/02-400540","02-400540")</f>
        <v>02-400540</v>
      </c>
      <c r="B3852" s="6" t="s">
        <v>3812</v>
      </c>
    </row>
    <row r="3853" spans="1:2" x14ac:dyDescent="0.3">
      <c r="A3853" s="7" t="str">
        <f>HYPERLINK("http://www.eatonpowersource.com/products/configure/industrial%20valves/details/02-400541","02-400541")</f>
        <v>02-400541</v>
      </c>
      <c r="B3853" s="8" t="s">
        <v>3813</v>
      </c>
    </row>
    <row r="3854" spans="1:2" x14ac:dyDescent="0.3">
      <c r="A3854" s="5" t="str">
        <f>HYPERLINK("http://www.eatonpowersource.com/products/configure/industrial%20valves/details/02-400543","02-400543")</f>
        <v>02-400543</v>
      </c>
      <c r="B3854" s="6" t="s">
        <v>3814</v>
      </c>
    </row>
    <row r="3855" spans="1:2" x14ac:dyDescent="0.3">
      <c r="A3855" s="7" t="str">
        <f>HYPERLINK("http://www.eatonpowersource.com/products/configure/industrial%20valves/details/02-400545","02-400545")</f>
        <v>02-400545</v>
      </c>
      <c r="B3855" s="8" t="s">
        <v>3815</v>
      </c>
    </row>
    <row r="3856" spans="1:2" x14ac:dyDescent="0.3">
      <c r="A3856" s="5" t="str">
        <f>HYPERLINK("http://www.eatonpowersource.com/products/configure/industrial%20valves/details/02-401016","02-401016")</f>
        <v>02-401016</v>
      </c>
      <c r="B3856" s="6" t="s">
        <v>3816</v>
      </c>
    </row>
    <row r="3857" spans="1:2" x14ac:dyDescent="0.3">
      <c r="A3857" s="7" t="str">
        <f>HYPERLINK("http://www.eatonpowersource.com/products/configure/industrial%20valves/details/02-411390","02-411390")</f>
        <v>02-411390</v>
      </c>
      <c r="B3857" s="8" t="s">
        <v>3817</v>
      </c>
    </row>
    <row r="3858" spans="1:2" x14ac:dyDescent="0.3">
      <c r="A3858" s="5" t="str">
        <f>HYPERLINK("http://www.eatonpowersource.com/products/configure/industrial%20valves/details/02-411625","02-411625")</f>
        <v>02-411625</v>
      </c>
      <c r="B3858" s="6" t="s">
        <v>3818</v>
      </c>
    </row>
    <row r="3859" spans="1:2" x14ac:dyDescent="0.3">
      <c r="A3859" s="7" t="str">
        <f>HYPERLINK("http://www.eatonpowersource.com/products/configure/industrial%20valves/details/02-411983","02-411983")</f>
        <v>02-411983</v>
      </c>
      <c r="B3859" s="8" t="s">
        <v>3819</v>
      </c>
    </row>
    <row r="3860" spans="1:2" x14ac:dyDescent="0.3">
      <c r="A3860" s="5" t="str">
        <f>HYPERLINK("http://www.eatonpowersource.com/products/configure/industrial%20valves/details/02-412093","02-412093")</f>
        <v>02-412093</v>
      </c>
      <c r="B3860" s="6" t="s">
        <v>3820</v>
      </c>
    </row>
    <row r="3861" spans="1:2" x14ac:dyDescent="0.3">
      <c r="A3861" s="7" t="str">
        <f>HYPERLINK("http://www.eatonpowersource.com/products/configure/industrial%20valves/details/02-412212","02-412212")</f>
        <v>02-412212</v>
      </c>
      <c r="B3861" s="8" t="s">
        <v>3821</v>
      </c>
    </row>
    <row r="3862" spans="1:2" x14ac:dyDescent="0.3">
      <c r="A3862" s="5" t="str">
        <f>HYPERLINK("http://www.eatonpowersource.com/products/configure/industrial%20valves/details/02-412363","02-412363")</f>
        <v>02-412363</v>
      </c>
      <c r="B3862" s="6" t="s">
        <v>3822</v>
      </c>
    </row>
    <row r="3863" spans="1:2" x14ac:dyDescent="0.3">
      <c r="A3863" s="7" t="str">
        <f>HYPERLINK("http://www.eatonpowersource.com/products/configure/industrial%20valves/details/02-412364","02-412364")</f>
        <v>02-412364</v>
      </c>
      <c r="B3863" s="8" t="s">
        <v>3823</v>
      </c>
    </row>
    <row r="3864" spans="1:2" x14ac:dyDescent="0.3">
      <c r="A3864" s="5" t="str">
        <f>HYPERLINK("http://www.eatonpowersource.com/products/configure/industrial%20valves/details/02-412510","02-412510")</f>
        <v>02-412510</v>
      </c>
      <c r="B3864" s="6" t="s">
        <v>3824</v>
      </c>
    </row>
    <row r="3865" spans="1:2" x14ac:dyDescent="0.3">
      <c r="A3865" s="7" t="str">
        <f>HYPERLINK("http://www.eatonpowersource.com/products/configure/industrial%20valves/details/02-412672","02-412672")</f>
        <v>02-412672</v>
      </c>
      <c r="B3865" s="8" t="s">
        <v>3825</v>
      </c>
    </row>
    <row r="3866" spans="1:2" x14ac:dyDescent="0.3">
      <c r="A3866" s="5" t="str">
        <f>HYPERLINK("http://www.eatonpowersource.com/products/configure/industrial%20valves/details/02-412679","02-412679")</f>
        <v>02-412679</v>
      </c>
      <c r="B3866" s="6" t="s">
        <v>3826</v>
      </c>
    </row>
    <row r="3867" spans="1:2" x14ac:dyDescent="0.3">
      <c r="A3867" s="7" t="str">
        <f>HYPERLINK("http://www.eatonpowersource.com/products/configure/industrial%20valves/details/02-412680","02-412680")</f>
        <v>02-412680</v>
      </c>
      <c r="B3867" s="8" t="s">
        <v>3636</v>
      </c>
    </row>
    <row r="3868" spans="1:2" x14ac:dyDescent="0.3">
      <c r="A3868" s="5" t="str">
        <f>HYPERLINK("http://www.eatonpowersource.com/products/configure/industrial%20valves/details/02-412681","02-412681")</f>
        <v>02-412681</v>
      </c>
      <c r="B3868" s="6" t="s">
        <v>3827</v>
      </c>
    </row>
    <row r="3869" spans="1:2" x14ac:dyDescent="0.3">
      <c r="A3869" s="7" t="str">
        <f>HYPERLINK("http://www.eatonpowersource.com/products/configure/industrial%20valves/details/02-412682","02-412682")</f>
        <v>02-412682</v>
      </c>
      <c r="B3869" s="8" t="s">
        <v>3828</v>
      </c>
    </row>
    <row r="3870" spans="1:2" x14ac:dyDescent="0.3">
      <c r="A3870" s="5" t="str">
        <f>HYPERLINK("http://www.eatonpowersource.com/products/configure/industrial%20valves/details/02-412687","02-412687")</f>
        <v>02-412687</v>
      </c>
      <c r="B3870" s="6" t="s">
        <v>3829</v>
      </c>
    </row>
    <row r="3871" spans="1:2" x14ac:dyDescent="0.3">
      <c r="A3871" s="7" t="str">
        <f>HYPERLINK("http://www.eatonpowersource.com/products/configure/industrial%20valves/details/02-412711","02-412711")</f>
        <v>02-412711</v>
      </c>
      <c r="B3871" s="8" t="s">
        <v>3830</v>
      </c>
    </row>
    <row r="3872" spans="1:2" x14ac:dyDescent="0.3">
      <c r="A3872" s="5" t="str">
        <f>HYPERLINK("http://www.eatonpowersource.com/products/configure/industrial%20valves/details/02-412718","02-412718")</f>
        <v>02-412718</v>
      </c>
      <c r="B3872" s="6" t="s">
        <v>3831</v>
      </c>
    </row>
    <row r="3873" spans="1:2" x14ac:dyDescent="0.3">
      <c r="A3873" s="7" t="str">
        <f>HYPERLINK("http://www.eatonpowersource.com/products/configure/industrial%20valves/details/02-412723","02-412723")</f>
        <v>02-412723</v>
      </c>
      <c r="B3873" s="8" t="s">
        <v>3832</v>
      </c>
    </row>
    <row r="3874" spans="1:2" x14ac:dyDescent="0.3">
      <c r="A3874" s="5" t="str">
        <f>HYPERLINK("http://www.eatonpowersource.com/products/configure/industrial%20valves/details/02-412725","02-412725")</f>
        <v>02-412725</v>
      </c>
      <c r="B3874" s="6" t="s">
        <v>3833</v>
      </c>
    </row>
    <row r="3875" spans="1:2" x14ac:dyDescent="0.3">
      <c r="A3875" s="7" t="str">
        <f>HYPERLINK("http://www.eatonpowersource.com/products/configure/industrial%20valves/details/02-412726","02-412726")</f>
        <v>02-412726</v>
      </c>
      <c r="B3875" s="8" t="s">
        <v>3834</v>
      </c>
    </row>
    <row r="3876" spans="1:2" x14ac:dyDescent="0.3">
      <c r="A3876" s="5" t="str">
        <f>HYPERLINK("http://www.eatonpowersource.com/products/configure/industrial%20valves/details/02-412734","02-412734")</f>
        <v>02-412734</v>
      </c>
      <c r="B3876" s="6" t="s">
        <v>3835</v>
      </c>
    </row>
    <row r="3877" spans="1:2" x14ac:dyDescent="0.3">
      <c r="A3877" s="7" t="str">
        <f>HYPERLINK("http://www.eatonpowersource.com/products/configure/industrial%20valves/details/02-412735","02-412735")</f>
        <v>02-412735</v>
      </c>
      <c r="B3877" s="8" t="s">
        <v>3836</v>
      </c>
    </row>
    <row r="3878" spans="1:2" x14ac:dyDescent="0.3">
      <c r="A3878" s="5" t="str">
        <f>HYPERLINK("http://www.eatonpowersource.com/products/configure/industrial%20valves/details/02-412736","02-412736")</f>
        <v>02-412736</v>
      </c>
      <c r="B3878" s="6" t="s">
        <v>3837</v>
      </c>
    </row>
    <row r="3879" spans="1:2" x14ac:dyDescent="0.3">
      <c r="A3879" s="7" t="str">
        <f>HYPERLINK("http://www.eatonpowersource.com/products/configure/industrial%20valves/details/02-412737","02-412737")</f>
        <v>02-412737</v>
      </c>
      <c r="B3879" s="8" t="s">
        <v>3838</v>
      </c>
    </row>
    <row r="3880" spans="1:2" x14ac:dyDescent="0.3">
      <c r="A3880" s="5" t="str">
        <f>HYPERLINK("http://www.eatonpowersource.com/products/configure/industrial%20valves/details/02-412738","02-412738")</f>
        <v>02-412738</v>
      </c>
      <c r="B3880" s="6" t="s">
        <v>3839</v>
      </c>
    </row>
    <row r="3881" spans="1:2" x14ac:dyDescent="0.3">
      <c r="A3881" s="7" t="str">
        <f>HYPERLINK("http://www.eatonpowersource.com/products/configure/industrial%20valves/details/02-412824","02-412824")</f>
        <v>02-412824</v>
      </c>
      <c r="B3881" s="8" t="s">
        <v>3840</v>
      </c>
    </row>
    <row r="3882" spans="1:2" x14ac:dyDescent="0.3">
      <c r="A3882" s="5" t="str">
        <f>HYPERLINK("http://www.eatonpowersource.com/products/configure/industrial%20valves/details/02-412855","02-412855")</f>
        <v>02-412855</v>
      </c>
      <c r="B3882" s="6" t="s">
        <v>3841</v>
      </c>
    </row>
    <row r="3883" spans="1:2" x14ac:dyDescent="0.3">
      <c r="A3883" s="7" t="str">
        <f>HYPERLINK("http://www.eatonpowersource.com/products/configure/industrial%20valves/details/02-412888","02-412888")</f>
        <v>02-412888</v>
      </c>
      <c r="B3883" s="8" t="s">
        <v>3842</v>
      </c>
    </row>
    <row r="3884" spans="1:2" x14ac:dyDescent="0.3">
      <c r="A3884" s="5" t="str">
        <f>HYPERLINK("http://www.eatonpowersource.com/products/configure/industrial%20valves/details/02-412914","02-412914")</f>
        <v>02-412914</v>
      </c>
      <c r="B3884" s="6" t="s">
        <v>3843</v>
      </c>
    </row>
    <row r="3885" spans="1:2" x14ac:dyDescent="0.3">
      <c r="A3885" s="7" t="str">
        <f>HYPERLINK("http://www.eatonpowersource.com/products/configure/industrial%20valves/details/02-412926","02-412926")</f>
        <v>02-412926</v>
      </c>
      <c r="B3885" s="8" t="s">
        <v>3844</v>
      </c>
    </row>
    <row r="3886" spans="1:2" x14ac:dyDescent="0.3">
      <c r="A3886" s="5" t="str">
        <f>HYPERLINK("http://www.eatonpowersource.com/products/configure/industrial%20valves/details/02-412950","02-412950")</f>
        <v>02-412950</v>
      </c>
      <c r="B3886" s="6" t="s">
        <v>3845</v>
      </c>
    </row>
    <row r="3887" spans="1:2" x14ac:dyDescent="0.3">
      <c r="A3887" s="7" t="str">
        <f>HYPERLINK("http://www.eatonpowersource.com/products/configure/industrial%20valves/details/02-412951","02-412951")</f>
        <v>02-412951</v>
      </c>
      <c r="B3887" s="8" t="s">
        <v>3846</v>
      </c>
    </row>
    <row r="3888" spans="1:2" x14ac:dyDescent="0.3">
      <c r="A3888" s="5" t="str">
        <f>HYPERLINK("http://www.eatonpowersource.com/products/configure/industrial%20valves/details/02-412955","02-412955")</f>
        <v>02-412955</v>
      </c>
      <c r="B3888" s="6" t="s">
        <v>3847</v>
      </c>
    </row>
    <row r="3889" spans="1:2" x14ac:dyDescent="0.3">
      <c r="A3889" s="7" t="str">
        <f>HYPERLINK("http://www.eatonpowersource.com/products/configure/industrial%20valves/details/02-413165","02-413165")</f>
        <v>02-413165</v>
      </c>
      <c r="B3889" s="8" t="s">
        <v>3848</v>
      </c>
    </row>
    <row r="3890" spans="1:2" x14ac:dyDescent="0.3">
      <c r="A3890" s="5" t="str">
        <f>HYPERLINK("http://www.eatonpowersource.com/products/configure/industrial%20valves/details/02-413194","02-413194")</f>
        <v>02-413194</v>
      </c>
      <c r="B3890" s="6" t="s">
        <v>3849</v>
      </c>
    </row>
    <row r="3891" spans="1:2" x14ac:dyDescent="0.3">
      <c r="A3891" s="7" t="str">
        <f>HYPERLINK("http://www.eatonpowersource.com/products/configure/industrial%20valves/details/02-413223","02-413223")</f>
        <v>02-413223</v>
      </c>
      <c r="B3891" s="8" t="s">
        <v>3850</v>
      </c>
    </row>
    <row r="3892" spans="1:2" x14ac:dyDescent="0.3">
      <c r="A3892" s="5" t="str">
        <f>HYPERLINK("http://www.eatonpowersource.com/products/configure/industrial%20valves/details/02-413250","02-413250")</f>
        <v>02-413250</v>
      </c>
      <c r="B3892" s="6" t="s">
        <v>3851</v>
      </c>
    </row>
    <row r="3893" spans="1:2" x14ac:dyDescent="0.3">
      <c r="A3893" s="7" t="str">
        <f>HYPERLINK("http://www.eatonpowersource.com/products/configure/industrial%20valves/details/02-413335","02-413335")</f>
        <v>02-413335</v>
      </c>
      <c r="B3893" s="8" t="s">
        <v>3852</v>
      </c>
    </row>
    <row r="3894" spans="1:2" x14ac:dyDescent="0.3">
      <c r="A3894" s="5" t="str">
        <f>HYPERLINK("http://www.eatonpowersource.com/products/configure/industrial%20valves/details/02-413338","02-413338")</f>
        <v>02-413338</v>
      </c>
      <c r="B3894" s="6" t="s">
        <v>3853</v>
      </c>
    </row>
    <row r="3895" spans="1:2" x14ac:dyDescent="0.3">
      <c r="A3895" s="7" t="str">
        <f>HYPERLINK("http://www.eatonpowersource.com/products/configure/industrial%20valves/details/02-413371","02-413371")</f>
        <v>02-413371</v>
      </c>
      <c r="B3895" s="8" t="s">
        <v>3854</v>
      </c>
    </row>
    <row r="3896" spans="1:2" x14ac:dyDescent="0.3">
      <c r="A3896" s="5" t="str">
        <f>HYPERLINK("http://www.eatonpowersource.com/products/configure/industrial%20valves/details/02-413407","02-413407")</f>
        <v>02-413407</v>
      </c>
      <c r="B3896" s="6" t="s">
        <v>3855</v>
      </c>
    </row>
    <row r="3897" spans="1:2" x14ac:dyDescent="0.3">
      <c r="A3897" s="7" t="str">
        <f>HYPERLINK("http://www.eatonpowersource.com/products/configure/industrial%20valves/details/02-413412","02-413412")</f>
        <v>02-413412</v>
      </c>
      <c r="B3897" s="8" t="s">
        <v>3856</v>
      </c>
    </row>
    <row r="3898" spans="1:2" x14ac:dyDescent="0.3">
      <c r="A3898" s="5" t="str">
        <f>HYPERLINK("http://www.eatonpowersource.com/products/configure/industrial%20valves/details/02-413632","02-413632")</f>
        <v>02-413632</v>
      </c>
      <c r="B3898" s="6" t="s">
        <v>3857</v>
      </c>
    </row>
    <row r="3899" spans="1:2" x14ac:dyDescent="0.3">
      <c r="A3899" s="7" t="str">
        <f>HYPERLINK("http://www.eatonpowersource.com/products/configure/industrial%20valves/details/02-413692","02-413692")</f>
        <v>02-413692</v>
      </c>
      <c r="B3899" s="8" t="s">
        <v>3858</v>
      </c>
    </row>
    <row r="3900" spans="1:2" x14ac:dyDescent="0.3">
      <c r="A3900" s="5" t="str">
        <f>HYPERLINK("http://www.eatonpowersource.com/products/configure/industrial%20valves/details/02-413729","02-413729")</f>
        <v>02-413729</v>
      </c>
      <c r="B3900" s="6" t="s">
        <v>3859</v>
      </c>
    </row>
    <row r="3901" spans="1:2" x14ac:dyDescent="0.3">
      <c r="A3901" s="7" t="str">
        <f>HYPERLINK("http://www.eatonpowersource.com/products/configure/industrial%20valves/details/02-413831","02-413831")</f>
        <v>02-413831</v>
      </c>
      <c r="B3901" s="8" t="s">
        <v>3860</v>
      </c>
    </row>
    <row r="3902" spans="1:2" x14ac:dyDescent="0.3">
      <c r="A3902" s="5" t="str">
        <f>HYPERLINK("http://www.eatonpowersource.com/products/configure/industrial%20valves/details/02-413832","02-413832")</f>
        <v>02-413832</v>
      </c>
      <c r="B3902" s="6" t="s">
        <v>3861</v>
      </c>
    </row>
    <row r="3903" spans="1:2" x14ac:dyDescent="0.3">
      <c r="A3903" s="7" t="str">
        <f>HYPERLINK("http://www.eatonpowersource.com/products/configure/industrial%20valves/details/02-413953","02-413953")</f>
        <v>02-413953</v>
      </c>
      <c r="B3903" s="8" t="s">
        <v>3862</v>
      </c>
    </row>
    <row r="3904" spans="1:2" x14ac:dyDescent="0.3">
      <c r="A3904" s="5" t="str">
        <f>HYPERLINK("http://www.eatonpowersource.com/products/configure/industrial%20valves/details/02-413955","02-413955")</f>
        <v>02-413955</v>
      </c>
      <c r="B3904" s="6" t="s">
        <v>3863</v>
      </c>
    </row>
    <row r="3905" spans="1:2" x14ac:dyDescent="0.3">
      <c r="A3905" s="7" t="str">
        <f>HYPERLINK("http://www.eatonpowersource.com/products/configure/industrial%20valves/details/02-414397","02-414397")</f>
        <v>02-414397</v>
      </c>
      <c r="B3905" s="8" t="s">
        <v>3864</v>
      </c>
    </row>
    <row r="3906" spans="1:2" x14ac:dyDescent="0.3">
      <c r="A3906" s="5" t="str">
        <f>HYPERLINK("http://www.eatonpowersource.com/products/configure/industrial%20valves/details/02-414678","02-414678")</f>
        <v>02-414678</v>
      </c>
      <c r="B3906" s="6" t="s">
        <v>3865</v>
      </c>
    </row>
    <row r="3907" spans="1:2" x14ac:dyDescent="0.3">
      <c r="A3907" s="7" t="str">
        <f>HYPERLINK("http://www.eatonpowersource.com/products/configure/industrial%20valves/details/02-414679","02-414679")</f>
        <v>02-414679</v>
      </c>
      <c r="B3907" s="8" t="s">
        <v>3866</v>
      </c>
    </row>
    <row r="3908" spans="1:2" x14ac:dyDescent="0.3">
      <c r="A3908" s="5" t="str">
        <f>HYPERLINK("http://www.eatonpowersource.com/products/configure/industrial%20valves/details/02-414994","02-414994")</f>
        <v>02-414994</v>
      </c>
      <c r="B3908" s="6" t="s">
        <v>3867</v>
      </c>
    </row>
    <row r="3909" spans="1:2" x14ac:dyDescent="0.3">
      <c r="A3909" s="7" t="str">
        <f>HYPERLINK("http://www.eatonpowersource.com/products/configure/industrial%20valves/details/466386","466386")</f>
        <v>466386</v>
      </c>
      <c r="B3909" s="8" t="s">
        <v>3868</v>
      </c>
    </row>
    <row r="3910" spans="1:2" x14ac:dyDescent="0.3">
      <c r="A3910" s="5" t="str">
        <f>HYPERLINK("http://www.eatonpowersource.com/products/configure/industrial%20valves/details/5992658-001","5992658-001")</f>
        <v>5992658-001</v>
      </c>
      <c r="B3910" s="6" t="s">
        <v>3869</v>
      </c>
    </row>
    <row r="3911" spans="1:2" x14ac:dyDescent="0.3">
      <c r="A3911" s="7" t="str">
        <f>HYPERLINK("http://www.eatonpowersource.com/products/configure/industrial%20valves/details/6035681-001","6035681-001")</f>
        <v>6035681-001</v>
      </c>
      <c r="B3911" s="8" t="s">
        <v>3870</v>
      </c>
    </row>
    <row r="3912" spans="1:2" x14ac:dyDescent="0.3">
      <c r="A3912" s="5" t="str">
        <f>HYPERLINK("http://www.eatonpowersource.com/products/configure/industrial%20valves/details/6040520-001","6040520-001")</f>
        <v>6040520-001</v>
      </c>
      <c r="B3912" s="6" t="s">
        <v>3871</v>
      </c>
    </row>
    <row r="3913" spans="1:2" x14ac:dyDescent="0.3">
      <c r="A3913" s="7" t="str">
        <f>HYPERLINK("http://www.eatonpowersource.com/products/configure/industrial%20valves/details/6041647-001","6041647-001")</f>
        <v>6041647-001</v>
      </c>
      <c r="B3913" s="8" t="s">
        <v>3872</v>
      </c>
    </row>
    <row r="3914" spans="1:2" x14ac:dyDescent="0.3">
      <c r="A3914" s="5" t="str">
        <f>HYPERLINK("http://www.eatonpowersource.com/products/configure/industrial%20valves/details/6042353-001","6042353-001")</f>
        <v>6042353-001</v>
      </c>
      <c r="B3914" s="6" t="s">
        <v>3873</v>
      </c>
    </row>
    <row r="3915" spans="1:2" x14ac:dyDescent="0.3">
      <c r="A3915" s="7" t="str">
        <f>HYPERLINK("http://www.eatonpowersource.com/products/configure/industrial%20valves/details/6042354-001","6042354-001")</f>
        <v>6042354-001</v>
      </c>
      <c r="B3915" s="8" t="s">
        <v>3874</v>
      </c>
    </row>
    <row r="3916" spans="1:2" x14ac:dyDescent="0.3">
      <c r="A3916" s="5" t="str">
        <f>HYPERLINK("http://www.eatonpowersource.com/products/configure/industrial%20valves/details/6042355-001","6042355-001")</f>
        <v>6042355-001</v>
      </c>
      <c r="B3916" s="6" t="s">
        <v>3875</v>
      </c>
    </row>
    <row r="3917" spans="1:2" x14ac:dyDescent="0.3">
      <c r="A3917" s="7" t="str">
        <f>HYPERLINK("http://www.eatonpowersource.com/products/configure/industrial%20valves/details/6042986-001","6042986-001")</f>
        <v>6042986-001</v>
      </c>
      <c r="B3917" s="8" t="s">
        <v>3876</v>
      </c>
    </row>
    <row r="3918" spans="1:2" x14ac:dyDescent="0.3">
      <c r="A3918" s="5" t="str">
        <f>HYPERLINK("http://www.eatonpowersource.com/products/configure/industrial%20valves/details/6042993-001","6042993-001")</f>
        <v>6042993-001</v>
      </c>
      <c r="B3918" s="6" t="s">
        <v>3877</v>
      </c>
    </row>
    <row r="3919" spans="1:2" x14ac:dyDescent="0.3">
      <c r="A3919" s="7" t="str">
        <f>HYPERLINK("http://www.eatonpowersource.com/products/configure/industrial%20valves/details/6042996-001","6042996-001")</f>
        <v>6042996-001</v>
      </c>
      <c r="B3919" s="8" t="s">
        <v>3878</v>
      </c>
    </row>
    <row r="3920" spans="1:2" x14ac:dyDescent="0.3">
      <c r="A3920" s="5" t="str">
        <f>HYPERLINK("http://www.eatonpowersource.com/products/configure/industrial%20valves/details/6042997-001","6042997-001")</f>
        <v>6042997-001</v>
      </c>
      <c r="B3920" s="6" t="s">
        <v>3879</v>
      </c>
    </row>
    <row r="3921" spans="1:2" x14ac:dyDescent="0.3">
      <c r="A3921" s="7" t="str">
        <f>HYPERLINK("http://www.eatonpowersource.com/products/configure/industrial%20valves/details/6043449-001","6043449-001")</f>
        <v>6043449-001</v>
      </c>
      <c r="B3921" s="8" t="s">
        <v>3880</v>
      </c>
    </row>
    <row r="3922" spans="1:2" x14ac:dyDescent="0.3">
      <c r="A3922" s="5" t="str">
        <f>HYPERLINK("http://www.eatonpowersource.com/products/configure/industrial%20valves/details/6044078-001","6044078-001")</f>
        <v>6044078-001</v>
      </c>
      <c r="B3922" s="6" t="s">
        <v>3881</v>
      </c>
    </row>
    <row r="3923" spans="1:2" x14ac:dyDescent="0.3">
      <c r="A3923" s="7" t="str">
        <f>HYPERLINK("http://www.eatonpowersource.com/products/configure/industrial%20valves/details/6044479-001","6044479-001")</f>
        <v>6044479-001</v>
      </c>
      <c r="B3923" s="8" t="s">
        <v>3882</v>
      </c>
    </row>
    <row r="3924" spans="1:2" x14ac:dyDescent="0.3">
      <c r="A3924" s="5" t="str">
        <f>HYPERLINK("http://www.eatonpowersource.com/products/configure/industrial%20valves/details/6045649-001","6045649-001")</f>
        <v>6045649-001</v>
      </c>
      <c r="B3924" s="6" t="s">
        <v>3883</v>
      </c>
    </row>
    <row r="3925" spans="1:2" x14ac:dyDescent="0.3">
      <c r="A3925" s="7" t="str">
        <f>HYPERLINK("http://www.eatonpowersource.com/products/configure/industrial%20valves/details/791551","791551")</f>
        <v>791551</v>
      </c>
      <c r="B3925" s="8" t="s">
        <v>3884</v>
      </c>
    </row>
    <row r="3926" spans="1:2" x14ac:dyDescent="0.3">
      <c r="A3926" s="5" t="str">
        <f>HYPERLINK("http://www.eatonpowersource.com/products/configure/industrial%20valves/details/834an00002a","834AN00002A")</f>
        <v>834AN00002A</v>
      </c>
      <c r="B3926" s="6" t="s">
        <v>3885</v>
      </c>
    </row>
    <row r="3927" spans="1:2" x14ac:dyDescent="0.3">
      <c r="A3927" s="7" t="str">
        <f>HYPERLINK("http://www.eatonpowersource.com/products/configure/industrial%20valves/details/834an00009a","834AN00009A")</f>
        <v>834AN00009A</v>
      </c>
      <c r="B3927" s="8" t="s">
        <v>3886</v>
      </c>
    </row>
    <row r="3928" spans="1:2" x14ac:dyDescent="0.3">
      <c r="A3928" s="5" t="str">
        <f>HYPERLINK("http://www.eatonpowersource.com/products/configure/industrial%20valves/details/834an00021a","834AN00021A")</f>
        <v>834AN00021A</v>
      </c>
      <c r="B3928" s="6" t="s">
        <v>3887</v>
      </c>
    </row>
    <row r="3929" spans="1:2" x14ac:dyDescent="0.3">
      <c r="A3929" s="7" t="str">
        <f>HYPERLINK("http://www.eatonpowersource.com/products/configure/industrial%20valves/details/834an00060a","834AN00060A")</f>
        <v>834AN00060A</v>
      </c>
      <c r="B3929" s="8" t="s">
        <v>3888</v>
      </c>
    </row>
    <row r="3930" spans="1:2" x14ac:dyDescent="0.3">
      <c r="A3930" s="5" t="str">
        <f>HYPERLINK("http://www.eatonpowersource.com/products/configure/industrial%20valves/details/834an00075a","834AN00075A")</f>
        <v>834AN00075A</v>
      </c>
      <c r="B3930" s="6" t="s">
        <v>3889</v>
      </c>
    </row>
    <row r="3931" spans="1:2" x14ac:dyDescent="0.3">
      <c r="A3931" s="7" t="str">
        <f>HYPERLINK("http://www.eatonpowersource.com/products/configure/industrial%20valves/details/834an00081a","834AN00081A")</f>
        <v>834AN00081A</v>
      </c>
      <c r="B3931" s="8" t="s">
        <v>3890</v>
      </c>
    </row>
    <row r="3932" spans="1:2" x14ac:dyDescent="0.3">
      <c r="A3932" s="5" t="str">
        <f>HYPERLINK("http://www.eatonpowersource.com/products/configure/industrial%20valves/details/835an00012a","835AN00012A")</f>
        <v>835AN00012A</v>
      </c>
      <c r="B3932" s="6" t="s">
        <v>3891</v>
      </c>
    </row>
    <row r="3933" spans="1:2" x14ac:dyDescent="0.3">
      <c r="A3933" s="7" t="str">
        <f>HYPERLINK("http://www.eatonpowersource.com/products/configure/industrial%20valves/details/835an00017a","835AN00017A")</f>
        <v>835AN00017A</v>
      </c>
      <c r="B3933" s="8" t="s">
        <v>3892</v>
      </c>
    </row>
    <row r="3934" spans="1:2" x14ac:dyDescent="0.3">
      <c r="A3934" s="5" t="str">
        <f>HYPERLINK("http://www.eatonpowersource.com/products/configure/industrial%20valves/details/835an00019a","835AN00019A")</f>
        <v>835AN00019A</v>
      </c>
      <c r="B3934" s="6" t="s">
        <v>3893</v>
      </c>
    </row>
    <row r="3935" spans="1:2" x14ac:dyDescent="0.3">
      <c r="A3935" s="7" t="str">
        <f>HYPERLINK("http://www.eatonpowersource.com/products/configure/industrial%20valves/details/835an00021a","835AN00021A")</f>
        <v>835AN00021A</v>
      </c>
      <c r="B3935" s="8" t="s">
        <v>3894</v>
      </c>
    </row>
    <row r="3936" spans="1:2" x14ac:dyDescent="0.3">
      <c r="A3936" s="5" t="str">
        <f>HYPERLINK("http://www.eatonpowersource.com/products/configure/industrial%20valves/details/835an00030a","835AN00030A")</f>
        <v>835AN00030A</v>
      </c>
      <c r="B3936" s="6" t="s">
        <v>3895</v>
      </c>
    </row>
    <row r="3937" spans="1:2" x14ac:dyDescent="0.3">
      <c r="A3937" s="7" t="str">
        <f>HYPERLINK("http://www.eatonpowersource.com/products/configure/industrial%20valves/details/835an00036a","835AN00036A")</f>
        <v>835AN00036A</v>
      </c>
      <c r="B3937" s="8" t="s">
        <v>3896</v>
      </c>
    </row>
    <row r="3938" spans="1:2" x14ac:dyDescent="0.3">
      <c r="A3938" s="5" t="str">
        <f>HYPERLINK("http://www.eatonpowersource.com/products/configure/industrial%20valves/details/835an00038a","835AN00038A")</f>
        <v>835AN00038A</v>
      </c>
      <c r="B3938" s="6" t="s">
        <v>3897</v>
      </c>
    </row>
    <row r="3939" spans="1:2" x14ac:dyDescent="0.3">
      <c r="A3939" s="7" t="str">
        <f>HYPERLINK("http://www.eatonpowersource.com/products/configure/industrial%20valves/details/835an00046a","835AN00046A")</f>
        <v>835AN00046A</v>
      </c>
      <c r="B3939" s="8" t="s">
        <v>3898</v>
      </c>
    </row>
    <row r="3940" spans="1:2" x14ac:dyDescent="0.3">
      <c r="A3940" s="5" t="str">
        <f>HYPERLINK("http://www.eatonpowersource.com/products/configure/industrial%20valves/details/835an00077a","835AN00077A")</f>
        <v>835AN00077A</v>
      </c>
      <c r="B3940" s="6" t="s">
        <v>3899</v>
      </c>
    </row>
    <row r="3941" spans="1:2" x14ac:dyDescent="0.3">
      <c r="A3941" s="7" t="str">
        <f>HYPERLINK("http://www.eatonpowersource.com/products/configure/industrial%20valves/details/835an00086a","835AN00086A")</f>
        <v>835AN00086A</v>
      </c>
      <c r="B3941" s="8" t="s">
        <v>3900</v>
      </c>
    </row>
    <row r="3942" spans="1:2" x14ac:dyDescent="0.3">
      <c r="A3942" s="5" t="str">
        <f>HYPERLINK("http://www.eatonpowersource.com/products/configure/industrial%20valves/details/835an00091a","835AN00091A")</f>
        <v>835AN00091A</v>
      </c>
      <c r="B3942" s="6" t="s">
        <v>3901</v>
      </c>
    </row>
    <row r="3943" spans="1:2" x14ac:dyDescent="0.3">
      <c r="A3943" s="7" t="str">
        <f>HYPERLINK("http://www.eatonpowersource.com/products/configure/industrial%20valves/details/835an00092a","835AN00092A")</f>
        <v>835AN00092A</v>
      </c>
      <c r="B3943" s="8" t="s">
        <v>3902</v>
      </c>
    </row>
    <row r="3944" spans="1:2" x14ac:dyDescent="0.3">
      <c r="A3944" s="5" t="str">
        <f>HYPERLINK("http://www.eatonpowersource.com/products/configure/industrial%20valves/details/835an00102a","835AN00102A")</f>
        <v>835AN00102A</v>
      </c>
      <c r="B3944" s="6" t="s">
        <v>3903</v>
      </c>
    </row>
    <row r="3945" spans="1:2" x14ac:dyDescent="0.3">
      <c r="A3945" s="7" t="str">
        <f>HYPERLINK("http://www.eatonpowersource.com/products/configure/industrial%20valves/details/835an00104a","835AN00104A")</f>
        <v>835AN00104A</v>
      </c>
      <c r="B3945" s="8" t="s">
        <v>3904</v>
      </c>
    </row>
    <row r="3946" spans="1:2" x14ac:dyDescent="0.3">
      <c r="A3946" s="5" t="str">
        <f>HYPERLINK("http://www.eatonpowersource.com/products/configure/industrial%20valves/details/835an00105a","835AN00105A")</f>
        <v>835AN00105A</v>
      </c>
      <c r="B3946" s="6" t="s">
        <v>3905</v>
      </c>
    </row>
    <row r="3947" spans="1:2" x14ac:dyDescent="0.3">
      <c r="A3947" s="7" t="str">
        <f>HYPERLINK("http://www.eatonpowersource.com/products/configure/industrial%20valves/details/835an00107a","835AN00107A")</f>
        <v>835AN00107A</v>
      </c>
      <c r="B3947" s="8" t="s">
        <v>3906</v>
      </c>
    </row>
    <row r="3948" spans="1:2" x14ac:dyDescent="0.3">
      <c r="A3948" s="5" t="str">
        <f>HYPERLINK("http://www.eatonpowersource.com/products/configure/industrial%20valves/details/835an00108a","835AN00108A")</f>
        <v>835AN00108A</v>
      </c>
      <c r="B3948" s="6" t="s">
        <v>3907</v>
      </c>
    </row>
    <row r="3949" spans="1:2" x14ac:dyDescent="0.3">
      <c r="A3949" s="7" t="str">
        <f>HYPERLINK("http://www.eatonpowersource.com/products/configure/industrial%20valves/details/835an00109a","835AN00109A")</f>
        <v>835AN00109A</v>
      </c>
      <c r="B3949" s="8" t="s">
        <v>3908</v>
      </c>
    </row>
    <row r="3950" spans="1:2" x14ac:dyDescent="0.3">
      <c r="A3950" s="5" t="str">
        <f>HYPERLINK("http://www.eatonpowersource.com/products/configure/industrial%20valves/details/835an00111a","835AN00111A")</f>
        <v>835AN00111A</v>
      </c>
      <c r="B3950" s="6" t="s">
        <v>3909</v>
      </c>
    </row>
    <row r="3951" spans="1:2" x14ac:dyDescent="0.3">
      <c r="A3951" s="7" t="str">
        <f>HYPERLINK("http://www.eatonpowersource.com/products/configure/industrial%20valves/details/835an00113a","835AN00113A")</f>
        <v>835AN00113A</v>
      </c>
      <c r="B3951" s="8" t="s">
        <v>3910</v>
      </c>
    </row>
    <row r="3952" spans="1:2" x14ac:dyDescent="0.3">
      <c r="A3952" s="5" t="str">
        <f>HYPERLINK("http://www.eatonpowersource.com/products/configure/industrial%20valves/details/836an00024a","836AN00024A")</f>
        <v>836AN00024A</v>
      </c>
      <c r="B3952" s="6" t="s">
        <v>3911</v>
      </c>
    </row>
    <row r="3953" spans="1:2" x14ac:dyDescent="0.3">
      <c r="A3953" s="7" t="str">
        <f>HYPERLINK("http://www.eatonpowersource.com/products/configure/industrial%20valves/details/836an00056a","836AN00056A")</f>
        <v>836AN00056A</v>
      </c>
      <c r="B3953" s="8" t="s">
        <v>3912</v>
      </c>
    </row>
    <row r="3954" spans="1:2" x14ac:dyDescent="0.3">
      <c r="A3954" s="5" t="str">
        <f>HYPERLINK("http://www.eatonpowersource.com/products/configure/industrial%20valves/details/836an00072a","836AN00072A")</f>
        <v>836AN00072A</v>
      </c>
      <c r="B3954" s="6" t="s">
        <v>3913</v>
      </c>
    </row>
    <row r="3955" spans="1:2" x14ac:dyDescent="0.3">
      <c r="A3955" s="7" t="str">
        <f>HYPERLINK("http://www.eatonpowersource.com/products/configure/industrial%20valves/details/836an00086a","836AN00086A")</f>
        <v>836AN00086A</v>
      </c>
      <c r="B3955" s="8" t="s">
        <v>3914</v>
      </c>
    </row>
    <row r="3956" spans="1:2" x14ac:dyDescent="0.3">
      <c r="A3956" s="5" t="str">
        <f>HYPERLINK("http://www.eatonpowersource.com/products/configure/industrial%20valves/details/836an00109a","836AN00109A")</f>
        <v>836AN00109A</v>
      </c>
      <c r="B3956" s="6" t="s">
        <v>3915</v>
      </c>
    </row>
    <row r="3957" spans="1:2" x14ac:dyDescent="0.3">
      <c r="A3957" s="7" t="str">
        <f>HYPERLINK("http://www.eatonpowersource.com/products/configure/industrial%20valves/details/836an00113a","836AN00113A")</f>
        <v>836AN00113A</v>
      </c>
      <c r="B3957" s="8" t="s">
        <v>3916</v>
      </c>
    </row>
    <row r="3958" spans="1:2" x14ac:dyDescent="0.3">
      <c r="A3958" s="5" t="str">
        <f>HYPERLINK("http://www.eatonpowersource.com/products/configure/industrial%20valves/details/836an00122a","836AN00122A")</f>
        <v>836AN00122A</v>
      </c>
      <c r="B3958" s="6" t="s">
        <v>3917</v>
      </c>
    </row>
    <row r="3959" spans="1:2" x14ac:dyDescent="0.3">
      <c r="A3959" s="7" t="str">
        <f>HYPERLINK("http://www.eatonpowersource.com/products/configure/industrial%20valves/details/836an00186a","836AN00186A")</f>
        <v>836AN00186A</v>
      </c>
      <c r="B3959" s="8" t="s">
        <v>3918</v>
      </c>
    </row>
    <row r="3960" spans="1:2" x14ac:dyDescent="0.3">
      <c r="A3960" s="5" t="str">
        <f>HYPERLINK("http://www.eatonpowersource.com/products/configure/industrial%20valves/details/836an00187a","836AN00187A")</f>
        <v>836AN00187A</v>
      </c>
      <c r="B3960" s="6" t="s">
        <v>3919</v>
      </c>
    </row>
    <row r="3961" spans="1:2" x14ac:dyDescent="0.3">
      <c r="A3961" s="7" t="str">
        <f>HYPERLINK("http://www.eatonpowersource.com/products/configure/industrial%20valves/details/836an00193a","836AN00193A")</f>
        <v>836AN00193A</v>
      </c>
      <c r="B3961" s="8" t="s">
        <v>3920</v>
      </c>
    </row>
    <row r="3962" spans="1:2" x14ac:dyDescent="0.3">
      <c r="A3962" s="5" t="str">
        <f>HYPERLINK("http://www.eatonpowersource.com/products/configure/industrial%20valves/details/836an00196a","836AN00196A")</f>
        <v>836AN00196A</v>
      </c>
      <c r="B3962" s="6" t="s">
        <v>3921</v>
      </c>
    </row>
    <row r="3963" spans="1:2" x14ac:dyDescent="0.3">
      <c r="A3963" s="7" t="str">
        <f>HYPERLINK("http://www.eatonpowersource.com/products/configure/industrial%20valves/details/836an00199a","836AN00199A")</f>
        <v>836AN00199A</v>
      </c>
      <c r="B3963" s="8" t="s">
        <v>3922</v>
      </c>
    </row>
    <row r="3964" spans="1:2" x14ac:dyDescent="0.3">
      <c r="A3964" s="5" t="str">
        <f>HYPERLINK("http://www.eatonpowersource.com/products/configure/industrial%20valves/details/836an00201a","836AN00201A")</f>
        <v>836AN00201A</v>
      </c>
      <c r="B3964" s="6" t="s">
        <v>3923</v>
      </c>
    </row>
    <row r="3965" spans="1:2" x14ac:dyDescent="0.3">
      <c r="A3965" s="7" t="str">
        <f>HYPERLINK("http://www.eatonpowersource.com/products/configure/industrial%20valves/details/836an00202a","836AN00202A")</f>
        <v>836AN00202A</v>
      </c>
      <c r="B3965" s="8" t="s">
        <v>3924</v>
      </c>
    </row>
    <row r="3966" spans="1:2" x14ac:dyDescent="0.3">
      <c r="A3966" s="5" t="str">
        <f>HYPERLINK("http://www.eatonpowersource.com/products/configure/industrial%20valves/details/836an00213a","836AN00213A")</f>
        <v>836AN00213A</v>
      </c>
      <c r="B3966" s="6" t="s">
        <v>3925</v>
      </c>
    </row>
    <row r="3967" spans="1:2" x14ac:dyDescent="0.3">
      <c r="A3967" s="7" t="str">
        <f>HYPERLINK("http://www.eatonpowersource.com/products/configure/industrial%20valves/details/836an00215a","836AN00215A")</f>
        <v>836AN00215A</v>
      </c>
      <c r="B3967" s="8" t="s">
        <v>3926</v>
      </c>
    </row>
    <row r="3968" spans="1:2" x14ac:dyDescent="0.3">
      <c r="A3968" s="5" t="str">
        <f>HYPERLINK("http://www.eatonpowersource.com/products/configure/industrial%20valves/details/836an00277a","836AN00277A")</f>
        <v>836AN00277A</v>
      </c>
      <c r="B3968" s="6" t="s">
        <v>3927</v>
      </c>
    </row>
    <row r="3969" spans="1:2" x14ac:dyDescent="0.3">
      <c r="A3969" s="7" t="str">
        <f>HYPERLINK("http://www.eatonpowersource.com/products/configure/industrial%20valves/details/836an00280a","836AN00280A")</f>
        <v>836AN00280A</v>
      </c>
      <c r="B3969" s="8" t="s">
        <v>3928</v>
      </c>
    </row>
    <row r="3970" spans="1:2" x14ac:dyDescent="0.3">
      <c r="A3970" s="5" t="str">
        <f>HYPERLINK("http://www.eatonpowersource.com/products/configure/industrial%20valves/details/836an00285a","836AN00285A")</f>
        <v>836AN00285A</v>
      </c>
      <c r="B3970" s="6" t="s">
        <v>3929</v>
      </c>
    </row>
    <row r="3971" spans="1:2" x14ac:dyDescent="0.3">
      <c r="A3971" s="7" t="str">
        <f>HYPERLINK("http://www.eatonpowersource.com/products/configure/industrial%20valves/details/836an00287a","836AN00287A")</f>
        <v>836AN00287A</v>
      </c>
      <c r="B3971" s="8" t="s">
        <v>3930</v>
      </c>
    </row>
    <row r="3972" spans="1:2" x14ac:dyDescent="0.3">
      <c r="A3972" s="5" t="str">
        <f>HYPERLINK("http://www.eatonpowersource.com/products/configure/industrial%20valves/details/836an00296a","836AN00296A")</f>
        <v>836AN00296A</v>
      </c>
      <c r="B3972" s="6" t="s">
        <v>3931</v>
      </c>
    </row>
    <row r="3973" spans="1:2" x14ac:dyDescent="0.3">
      <c r="A3973" s="7" t="str">
        <f>HYPERLINK("http://www.eatonpowersource.com/products/configure/industrial%20valves/details/836an00303a","836AN00303A")</f>
        <v>836AN00303A</v>
      </c>
      <c r="B3973" s="8" t="s">
        <v>3932</v>
      </c>
    </row>
    <row r="3974" spans="1:2" x14ac:dyDescent="0.3">
      <c r="A3974" s="5" t="str">
        <f>HYPERLINK("http://www.eatonpowersource.com/products/configure/industrial%20valves/details/836an00308a","836AN00308A")</f>
        <v>836AN00308A</v>
      </c>
      <c r="B3974" s="6" t="s">
        <v>3933</v>
      </c>
    </row>
    <row r="3975" spans="1:2" x14ac:dyDescent="0.3">
      <c r="A3975" s="7" t="str">
        <f>HYPERLINK("http://www.eatonpowersource.com/products/configure/industrial%20valves/details/836an00315a","836AN00315A")</f>
        <v>836AN00315A</v>
      </c>
      <c r="B3975" s="8" t="s">
        <v>3934</v>
      </c>
    </row>
    <row r="3976" spans="1:2" x14ac:dyDescent="0.3">
      <c r="A3976" s="5" t="str">
        <f>HYPERLINK("http://www.eatonpowersource.com/products/configure/industrial%20valves/details/836an00320a","836AN00320A")</f>
        <v>836AN00320A</v>
      </c>
      <c r="B3976" s="6" t="s">
        <v>3935</v>
      </c>
    </row>
    <row r="3977" spans="1:2" x14ac:dyDescent="0.3">
      <c r="A3977" s="7" t="str">
        <f>HYPERLINK("http://www.eatonpowersource.com/products/configure/industrial%20valves/details/836an00325a","836AN00325A")</f>
        <v>836AN00325A</v>
      </c>
      <c r="B3977" s="8" t="s">
        <v>3936</v>
      </c>
    </row>
    <row r="3978" spans="1:2" x14ac:dyDescent="0.3">
      <c r="A3978" s="5" t="str">
        <f>HYPERLINK("http://www.eatonpowersource.com/products/configure/industrial%20valves/details/836an00332a","836AN00332A")</f>
        <v>836AN00332A</v>
      </c>
      <c r="B3978" s="6" t="s">
        <v>3937</v>
      </c>
    </row>
    <row r="3979" spans="1:2" x14ac:dyDescent="0.3">
      <c r="A3979" s="7" t="str">
        <f>HYPERLINK("http://www.eatonpowersource.com/products/configure/industrial%20valves/details/836an00357a","836AN00357A")</f>
        <v>836AN00357A</v>
      </c>
      <c r="B3979" s="8" t="s">
        <v>3938</v>
      </c>
    </row>
    <row r="3980" spans="1:2" x14ac:dyDescent="0.3">
      <c r="A3980" s="5" t="str">
        <f>HYPERLINK("http://www.eatonpowersource.com/products/configure/industrial%20valves/details/836an00362a","836AN00362A")</f>
        <v>836AN00362A</v>
      </c>
      <c r="B3980" s="6" t="s">
        <v>3939</v>
      </c>
    </row>
    <row r="3981" spans="1:2" x14ac:dyDescent="0.3">
      <c r="A3981" s="7" t="str">
        <f>HYPERLINK("http://www.eatonpowersource.com/products/configure/industrial%20valves/details/836an00363a","836AN00363A")</f>
        <v>836AN00363A</v>
      </c>
      <c r="B3981" s="8" t="s">
        <v>3940</v>
      </c>
    </row>
    <row r="3982" spans="1:2" x14ac:dyDescent="0.3">
      <c r="A3982" s="5" t="str">
        <f>HYPERLINK("http://www.eatonpowersource.com/products/configure/industrial%20valves/details/836an00364a","836AN00364A")</f>
        <v>836AN00364A</v>
      </c>
      <c r="B3982" s="6" t="s">
        <v>3941</v>
      </c>
    </row>
    <row r="3983" spans="1:2" x14ac:dyDescent="0.3">
      <c r="A3983" s="7" t="str">
        <f>HYPERLINK("http://www.eatonpowersource.com/products/configure/industrial%20valves/details/836an00391a","836AN00391A")</f>
        <v>836AN00391A</v>
      </c>
      <c r="B3983" s="8" t="s">
        <v>3942</v>
      </c>
    </row>
    <row r="3984" spans="1:2" x14ac:dyDescent="0.3">
      <c r="A3984" s="5" t="str">
        <f>HYPERLINK("http://www.eatonpowersource.com/products/configure/industrial%20valves/details/836an00396a","836AN00396A")</f>
        <v>836AN00396A</v>
      </c>
      <c r="B3984" s="6" t="s">
        <v>3943</v>
      </c>
    </row>
    <row r="3985" spans="1:2" x14ac:dyDescent="0.3">
      <c r="A3985" s="7" t="str">
        <f>HYPERLINK("http://www.eatonpowersource.com/products/configure/industrial%20valves/details/836an00397a","836AN00397A")</f>
        <v>836AN00397A</v>
      </c>
      <c r="B3985" s="8" t="s">
        <v>3944</v>
      </c>
    </row>
    <row r="3986" spans="1:2" x14ac:dyDescent="0.3">
      <c r="A3986" s="5" t="str">
        <f>HYPERLINK("http://www.eatonpowersource.com/products/configure/industrial%20valves/details/836an00403a","836AN00403A")</f>
        <v>836AN00403A</v>
      </c>
      <c r="B3986" s="6" t="s">
        <v>3945</v>
      </c>
    </row>
    <row r="3987" spans="1:2" x14ac:dyDescent="0.3">
      <c r="A3987" s="7" t="str">
        <f>HYPERLINK("http://www.eatonpowersource.com/products/configure/industrial%20valves/details/836an00422a","836AN00422A")</f>
        <v>836AN00422A</v>
      </c>
      <c r="B3987" s="8" t="s">
        <v>3946</v>
      </c>
    </row>
    <row r="3988" spans="1:2" x14ac:dyDescent="0.3">
      <c r="A3988" s="5" t="str">
        <f>HYPERLINK("http://www.eatonpowersource.com/products/configure/industrial%20valves/details/836an00434a","836AN00434A")</f>
        <v>836AN00434A</v>
      </c>
      <c r="B3988" s="6" t="s">
        <v>3947</v>
      </c>
    </row>
    <row r="3989" spans="1:2" x14ac:dyDescent="0.3">
      <c r="A3989" s="7" t="str">
        <f>HYPERLINK("http://www.eatonpowersource.com/products/configure/industrial%20valves/details/836an00435a","836AN00435A")</f>
        <v>836AN00435A</v>
      </c>
      <c r="B3989" s="8" t="s">
        <v>3948</v>
      </c>
    </row>
    <row r="3990" spans="1:2" x14ac:dyDescent="0.3">
      <c r="A3990" s="5" t="str">
        <f>HYPERLINK("http://www.eatonpowersource.com/products/configure/industrial%20valves/details/836an00458a","836AN00458A")</f>
        <v>836AN00458A</v>
      </c>
      <c r="B3990" s="6" t="s">
        <v>3949</v>
      </c>
    </row>
    <row r="3991" spans="1:2" x14ac:dyDescent="0.3">
      <c r="A3991" s="7" t="str">
        <f>HYPERLINK("http://www.eatonpowersource.com/products/configure/industrial%20valves/details/836an00467a","836AN00467A")</f>
        <v>836AN00467A</v>
      </c>
      <c r="B3991" s="8" t="s">
        <v>3950</v>
      </c>
    </row>
    <row r="3992" spans="1:2" x14ac:dyDescent="0.3">
      <c r="A3992" s="5" t="str">
        <f>HYPERLINK("http://www.eatonpowersource.com/products/configure/industrial%20valves/details/836an00486a","836AN00486A")</f>
        <v>836AN00486A</v>
      </c>
      <c r="B3992" s="6" t="s">
        <v>3951</v>
      </c>
    </row>
    <row r="3993" spans="1:2" x14ac:dyDescent="0.3">
      <c r="A3993" s="7" t="str">
        <f>HYPERLINK("http://www.eatonpowersource.com/products/configure/industrial%20valves/details/836an00501a","836AN00501A")</f>
        <v>836AN00501A</v>
      </c>
      <c r="B3993" s="8" t="s">
        <v>3952</v>
      </c>
    </row>
    <row r="3994" spans="1:2" x14ac:dyDescent="0.3">
      <c r="A3994" s="5" t="str">
        <f>HYPERLINK("http://www.eatonpowersource.com/products/configure/industrial%20valves/details/836an00518a","836AN00518A")</f>
        <v>836AN00518A</v>
      </c>
      <c r="B3994" s="6" t="s">
        <v>3953</v>
      </c>
    </row>
    <row r="3995" spans="1:2" x14ac:dyDescent="0.3">
      <c r="A3995" s="7" t="str">
        <f>HYPERLINK("http://www.eatonpowersource.com/products/configure/industrial%20valves/details/836an00524a","836AN00524A")</f>
        <v>836AN00524A</v>
      </c>
      <c r="B3995" s="8" t="s">
        <v>3954</v>
      </c>
    </row>
    <row r="3996" spans="1:2" x14ac:dyDescent="0.3">
      <c r="A3996" s="5" t="str">
        <f>HYPERLINK("http://www.eatonpowersource.com/products/configure/industrial%20valves/details/836an00559a","836AN00559A")</f>
        <v>836AN00559A</v>
      </c>
      <c r="B3996" s="6" t="s">
        <v>3955</v>
      </c>
    </row>
    <row r="3997" spans="1:2" x14ac:dyDescent="0.3">
      <c r="A3997" s="7" t="str">
        <f>HYPERLINK("http://www.eatonpowersource.com/products/configure/industrial%20valves/details/836an00582a","836AN00582A")</f>
        <v>836AN00582A</v>
      </c>
      <c r="B3997" s="8" t="s">
        <v>3956</v>
      </c>
    </row>
    <row r="3998" spans="1:2" x14ac:dyDescent="0.3">
      <c r="A3998" s="5" t="str">
        <f>HYPERLINK("http://www.eatonpowersource.com/products/configure/industrial%20valves/details/836an00603a","836AN00603A")</f>
        <v>836AN00603A</v>
      </c>
      <c r="B3998" s="6" t="s">
        <v>3957</v>
      </c>
    </row>
    <row r="3999" spans="1:2" x14ac:dyDescent="0.3">
      <c r="A3999" s="7" t="str">
        <f>HYPERLINK("http://www.eatonpowersource.com/products/configure/industrial%20valves/details/836an00606a","836AN00606A")</f>
        <v>836AN00606A</v>
      </c>
      <c r="B3999" s="8" t="s">
        <v>3958</v>
      </c>
    </row>
    <row r="4000" spans="1:2" x14ac:dyDescent="0.3">
      <c r="A4000" s="5" t="str">
        <f>HYPERLINK("http://www.eatonpowersource.com/products/configure/industrial%20valves/details/836an00615a","836AN00615A")</f>
        <v>836AN00615A</v>
      </c>
      <c r="B4000" s="6" t="s">
        <v>3959</v>
      </c>
    </row>
    <row r="4001" spans="1:2" x14ac:dyDescent="0.3">
      <c r="A4001" s="7" t="str">
        <f>HYPERLINK("http://www.eatonpowersource.com/products/configure/industrial%20valves/details/836an00642a","836AN00642A")</f>
        <v>836AN00642A</v>
      </c>
      <c r="B4001" s="8" t="s">
        <v>3960</v>
      </c>
    </row>
    <row r="4002" spans="1:2" x14ac:dyDescent="0.3">
      <c r="A4002" s="5" t="str">
        <f>HYPERLINK("http://www.eatonpowersource.com/products/configure/industrial%20valves/details/836an00643a","836AN00643A")</f>
        <v>836AN00643A</v>
      </c>
      <c r="B4002" s="6" t="s">
        <v>3961</v>
      </c>
    </row>
    <row r="4003" spans="1:2" x14ac:dyDescent="0.3">
      <c r="A4003" s="7" t="str">
        <f>HYPERLINK("http://www.eatonpowersource.com/products/configure/industrial%20valves/details/836an00667a","836AN00667A")</f>
        <v>836AN00667A</v>
      </c>
      <c r="B4003" s="8" t="s">
        <v>3962</v>
      </c>
    </row>
    <row r="4004" spans="1:2" x14ac:dyDescent="0.3">
      <c r="A4004" s="5" t="str">
        <f>HYPERLINK("http://www.eatonpowersource.com/products/configure/industrial%20valves/details/836an00672a","836AN00672A")</f>
        <v>836AN00672A</v>
      </c>
      <c r="B4004" s="6" t="s">
        <v>3963</v>
      </c>
    </row>
    <row r="4005" spans="1:2" x14ac:dyDescent="0.3">
      <c r="A4005" s="7" t="str">
        <f>HYPERLINK("http://www.eatonpowersource.com/products/configure/industrial%20valves/details/836an00680a","836AN00680A")</f>
        <v>836AN00680A</v>
      </c>
      <c r="B4005" s="8" t="s">
        <v>3964</v>
      </c>
    </row>
    <row r="4006" spans="1:2" x14ac:dyDescent="0.3">
      <c r="A4006" s="5" t="str">
        <f>HYPERLINK("http://www.eatonpowersource.com/products/configure/industrial%20valves/details/836an00683a","836AN00683A")</f>
        <v>836AN00683A</v>
      </c>
      <c r="B4006" s="6" t="s">
        <v>3965</v>
      </c>
    </row>
    <row r="4007" spans="1:2" x14ac:dyDescent="0.3">
      <c r="A4007" s="7" t="str">
        <f>HYPERLINK("http://www.eatonpowersource.com/products/configure/industrial%20valves/details/836an00686a","836AN00686A")</f>
        <v>836AN00686A</v>
      </c>
      <c r="B4007" s="8" t="s">
        <v>3966</v>
      </c>
    </row>
    <row r="4008" spans="1:2" x14ac:dyDescent="0.3">
      <c r="A4008" s="5" t="str">
        <f>HYPERLINK("http://www.eatonpowersource.com/products/configure/industrial%20valves/details/836an00687a","836AN00687A")</f>
        <v>836AN00687A</v>
      </c>
      <c r="B4008" s="6" t="s">
        <v>3967</v>
      </c>
    </row>
    <row r="4009" spans="1:2" x14ac:dyDescent="0.3">
      <c r="A4009" s="7" t="str">
        <f>HYPERLINK("http://www.eatonpowersource.com/products/configure/industrial%20valves/details/836an00705a","836AN00705A")</f>
        <v>836AN00705A</v>
      </c>
      <c r="B4009" s="8" t="s">
        <v>3968</v>
      </c>
    </row>
    <row r="4010" spans="1:2" x14ac:dyDescent="0.3">
      <c r="A4010" s="5" t="str">
        <f>HYPERLINK("http://www.eatonpowersource.com/products/configure/industrial%20valves/details/836an00715a","836AN00715A")</f>
        <v>836AN00715A</v>
      </c>
      <c r="B4010" s="6" t="s">
        <v>3969</v>
      </c>
    </row>
    <row r="4011" spans="1:2" x14ac:dyDescent="0.3">
      <c r="A4011" s="7" t="str">
        <f>HYPERLINK("http://www.eatonpowersource.com/products/configure/industrial%20valves/details/836an00743a","836AN00743A")</f>
        <v>836AN00743A</v>
      </c>
      <c r="B4011" s="8" t="s">
        <v>3970</v>
      </c>
    </row>
    <row r="4012" spans="1:2" x14ac:dyDescent="0.3">
      <c r="A4012" s="5" t="str">
        <f>HYPERLINK("http://www.eatonpowersource.com/products/configure/industrial%20valves/details/836an00762a","836AN00762A")</f>
        <v>836AN00762A</v>
      </c>
      <c r="B4012" s="6" t="s">
        <v>3971</v>
      </c>
    </row>
    <row r="4013" spans="1:2" x14ac:dyDescent="0.3">
      <c r="A4013" s="7" t="str">
        <f>HYPERLINK("http://www.eatonpowersource.com/products/configure/industrial%20valves/details/836an00764a","836AN00764A")</f>
        <v>836AN00764A</v>
      </c>
      <c r="B4013" s="8" t="s">
        <v>3972</v>
      </c>
    </row>
    <row r="4014" spans="1:2" x14ac:dyDescent="0.3">
      <c r="A4014" s="5" t="str">
        <f>HYPERLINK("http://www.eatonpowersource.com/products/configure/industrial%20valves/details/836an00765a","836AN00765A")</f>
        <v>836AN00765A</v>
      </c>
      <c r="B4014" s="6" t="s">
        <v>3973</v>
      </c>
    </row>
    <row r="4015" spans="1:2" x14ac:dyDescent="0.3">
      <c r="A4015" s="7" t="str">
        <f>HYPERLINK("http://www.eatonpowersource.com/products/configure/industrial%20valves/details/836an00770a","836AN00770A")</f>
        <v>836AN00770A</v>
      </c>
      <c r="B4015" s="8" t="s">
        <v>3974</v>
      </c>
    </row>
    <row r="4016" spans="1:2" x14ac:dyDescent="0.3">
      <c r="A4016" s="5" t="str">
        <f>HYPERLINK("http://www.eatonpowersource.com/products/configure/industrial%20valves/details/836an00771a","836AN00771A")</f>
        <v>836AN00771A</v>
      </c>
      <c r="B4016" s="6" t="s">
        <v>3975</v>
      </c>
    </row>
    <row r="4017" spans="1:2" x14ac:dyDescent="0.3">
      <c r="A4017" s="7" t="str">
        <f>HYPERLINK("http://www.eatonpowersource.com/products/configure/industrial%20valves/details/02-109336","02-109336")</f>
        <v>02-109336</v>
      </c>
      <c r="B4017" s="8" t="s">
        <v>3976</v>
      </c>
    </row>
    <row r="4018" spans="1:2" x14ac:dyDescent="0.3">
      <c r="A4018" s="5" t="str">
        <f>HYPERLINK("http://www.eatonpowersource.com/products/configure/industrial%20valves/details/02-109338","02-109338")</f>
        <v>02-109338</v>
      </c>
      <c r="B4018" s="6" t="s">
        <v>3977</v>
      </c>
    </row>
    <row r="4019" spans="1:2" x14ac:dyDescent="0.3">
      <c r="A4019" s="7" t="str">
        <f>HYPERLINK("http://www.eatonpowersource.com/products/configure/industrial%20valves/details/02-139430","02-139430")</f>
        <v>02-139430</v>
      </c>
      <c r="B4019" s="8" t="s">
        <v>3978</v>
      </c>
    </row>
    <row r="4020" spans="1:2" x14ac:dyDescent="0.3">
      <c r="A4020" s="5" t="str">
        <f>HYPERLINK("http://www.eatonpowersource.com/products/configure/industrial%20valves/details/02-156995","02-156995")</f>
        <v>02-156995</v>
      </c>
      <c r="B4020" s="6" t="s">
        <v>3979</v>
      </c>
    </row>
    <row r="4021" spans="1:2" x14ac:dyDescent="0.3">
      <c r="A4021" s="7" t="str">
        <f>HYPERLINK("http://www.eatonpowersource.com/products/configure/industrial%20valves/details/02-312189","02-312189")</f>
        <v>02-312189</v>
      </c>
      <c r="B4021" s="8" t="s">
        <v>3980</v>
      </c>
    </row>
    <row r="4022" spans="1:2" x14ac:dyDescent="0.3">
      <c r="A4022" s="5" t="str">
        <f>HYPERLINK("http://www.eatonpowersource.com/products/configure/industrial%20valves/details/02-323176","02-323176")</f>
        <v>02-323176</v>
      </c>
      <c r="B4022" s="6" t="s">
        <v>3981</v>
      </c>
    </row>
    <row r="4023" spans="1:2" x14ac:dyDescent="0.3">
      <c r="A4023" s="7" t="str">
        <f>HYPERLINK("http://www.eatonpowersource.com/products/configure/industrial%20valves/details/02-323190","02-323190")</f>
        <v>02-323190</v>
      </c>
      <c r="B4023" s="8" t="s">
        <v>3982</v>
      </c>
    </row>
    <row r="4024" spans="1:2" x14ac:dyDescent="0.3">
      <c r="A4024" s="5" t="str">
        <f>HYPERLINK("http://www.eatonpowersource.com/products/configure/industrial%20valves/details/02-323516","02-323516")</f>
        <v>02-323516</v>
      </c>
      <c r="B4024" s="6" t="s">
        <v>3983</v>
      </c>
    </row>
    <row r="4025" spans="1:2" x14ac:dyDescent="0.3">
      <c r="A4025" s="7" t="str">
        <f>HYPERLINK("http://www.eatonpowersource.com/products/configure/industrial%20valves/details/02-323713","02-323713")</f>
        <v>02-323713</v>
      </c>
      <c r="B4025" s="8" t="s">
        <v>3984</v>
      </c>
    </row>
    <row r="4026" spans="1:2" x14ac:dyDescent="0.3">
      <c r="A4026" s="5" t="str">
        <f>HYPERLINK("http://www.eatonpowersource.com/products/configure/industrial%20valves/details/02-332080","02-332080")</f>
        <v>02-332080</v>
      </c>
      <c r="B4026" s="6" t="s">
        <v>3985</v>
      </c>
    </row>
    <row r="4027" spans="1:2" x14ac:dyDescent="0.3">
      <c r="A4027" s="7" t="str">
        <f>HYPERLINK("http://www.eatonpowersource.com/products/configure/industrial%20valves/details/02-332148","02-332148")</f>
        <v>02-332148</v>
      </c>
      <c r="B4027" s="8" t="s">
        <v>3986</v>
      </c>
    </row>
    <row r="4028" spans="1:2" x14ac:dyDescent="0.3">
      <c r="A4028" s="5" t="str">
        <f>HYPERLINK("http://www.eatonpowersource.com/products/configure/industrial%20valves/details/02-332324","02-332324")</f>
        <v>02-332324</v>
      </c>
      <c r="B4028" s="6" t="s">
        <v>3987</v>
      </c>
    </row>
    <row r="4029" spans="1:2" x14ac:dyDescent="0.3">
      <c r="A4029" s="7" t="str">
        <f>HYPERLINK("http://www.eatonpowersource.com/products/configure/industrial%20valves/details/02-350446","02-350446")</f>
        <v>02-350446</v>
      </c>
      <c r="B4029" s="8" t="s">
        <v>3988</v>
      </c>
    </row>
    <row r="4030" spans="1:2" x14ac:dyDescent="0.3">
      <c r="A4030" s="5" t="str">
        <f>HYPERLINK("http://www.eatonpowersource.com/products/configure/industrial%20valves/details/02-350622","02-350622")</f>
        <v>02-350622</v>
      </c>
      <c r="B4030" s="6" t="s">
        <v>3989</v>
      </c>
    </row>
    <row r="4031" spans="1:2" x14ac:dyDescent="0.3">
      <c r="A4031" s="7" t="str">
        <f>HYPERLINK("http://www.eatonpowersource.com/products/configure/industrial%20valves/details/02-351145","02-351145")</f>
        <v>02-351145</v>
      </c>
      <c r="B4031" s="8" t="s">
        <v>3990</v>
      </c>
    </row>
    <row r="4032" spans="1:2" x14ac:dyDescent="0.3">
      <c r="A4032" s="5" t="str">
        <f>HYPERLINK("http://www.eatonpowersource.com/products/configure/industrial%20valves/details/02-351205","02-351205")</f>
        <v>02-351205</v>
      </c>
      <c r="B4032" s="6" t="s">
        <v>3991</v>
      </c>
    </row>
    <row r="4033" spans="1:2" x14ac:dyDescent="0.3">
      <c r="A4033" s="7" t="str">
        <f>HYPERLINK("http://www.eatonpowersource.com/products/configure/industrial%20valves/details/02-352134","02-352134")</f>
        <v>02-352134</v>
      </c>
      <c r="B4033" s="8" t="s">
        <v>3992</v>
      </c>
    </row>
    <row r="4034" spans="1:2" x14ac:dyDescent="0.3">
      <c r="A4034" s="5" t="str">
        <f>HYPERLINK("http://www.eatonpowersource.com/products/configure/industrial%20valves/details/02-353910","02-353910")</f>
        <v>02-353910</v>
      </c>
      <c r="B4034" s="6" t="s">
        <v>3993</v>
      </c>
    </row>
    <row r="4035" spans="1:2" x14ac:dyDescent="0.3">
      <c r="A4035" s="7" t="str">
        <f>HYPERLINK("http://www.eatonpowersource.com/products/configure/industrial%20valves/details/02-358286","02-358286")</f>
        <v>02-358286</v>
      </c>
      <c r="B4035" s="8" t="s">
        <v>3994</v>
      </c>
    </row>
    <row r="4036" spans="1:2" x14ac:dyDescent="0.3">
      <c r="A4036" s="5" t="str">
        <f>HYPERLINK("http://www.eatonpowersource.com/products/configure/industrial%20valves/details/02-358522","02-358522")</f>
        <v>02-358522</v>
      </c>
      <c r="B4036" s="6" t="s">
        <v>3995</v>
      </c>
    </row>
    <row r="4037" spans="1:2" x14ac:dyDescent="0.3">
      <c r="A4037" s="7" t="str">
        <f>HYPERLINK("http://www.eatonpowersource.com/products/configure/industrial%20valves/details/02-358610","02-358610")</f>
        <v>02-358610</v>
      </c>
      <c r="B4037" s="8" t="s">
        <v>3996</v>
      </c>
    </row>
    <row r="4038" spans="1:2" x14ac:dyDescent="0.3">
      <c r="A4038" s="5" t="str">
        <f>HYPERLINK("http://www.eatonpowersource.com/products/configure/industrial%20valves/details/02-358916","02-358916")</f>
        <v>02-358916</v>
      </c>
      <c r="B4038" s="6" t="s">
        <v>3997</v>
      </c>
    </row>
    <row r="4039" spans="1:2" x14ac:dyDescent="0.3">
      <c r="A4039" s="7" t="str">
        <f>HYPERLINK("http://www.eatonpowersource.com/products/configure/industrial%20valves/details/02-358956","02-358956")</f>
        <v>02-358956</v>
      </c>
      <c r="B4039" s="8" t="s">
        <v>3998</v>
      </c>
    </row>
    <row r="4040" spans="1:2" x14ac:dyDescent="0.3">
      <c r="A4040" s="5" t="str">
        <f>HYPERLINK("http://www.eatonpowersource.com/products/configure/industrial%20valves/details/02-359191","02-359191")</f>
        <v>02-359191</v>
      </c>
      <c r="B4040" s="6" t="s">
        <v>3999</v>
      </c>
    </row>
    <row r="4041" spans="1:2" x14ac:dyDescent="0.3">
      <c r="A4041" s="7" t="str">
        <f>HYPERLINK("http://www.eatonpowersource.com/products/configure/industrial%20valves/details/02-396659","02-396659")</f>
        <v>02-396659</v>
      </c>
      <c r="B4041" s="8" t="s">
        <v>4000</v>
      </c>
    </row>
    <row r="4042" spans="1:2" x14ac:dyDescent="0.3">
      <c r="A4042" s="5" t="str">
        <f>HYPERLINK("http://www.eatonpowersource.com/products/configure/industrial%20valves/details/02-397195","02-397195")</f>
        <v>02-397195</v>
      </c>
      <c r="B4042" s="6" t="s">
        <v>4001</v>
      </c>
    </row>
    <row r="4043" spans="1:2" x14ac:dyDescent="0.3">
      <c r="A4043" s="7" t="str">
        <f>HYPERLINK("http://www.eatonpowersource.com/products/configure/industrial%20valves/details/02-397196","02-397196")</f>
        <v>02-397196</v>
      </c>
      <c r="B4043" s="8" t="s">
        <v>4002</v>
      </c>
    </row>
    <row r="4044" spans="1:2" x14ac:dyDescent="0.3">
      <c r="A4044" s="5" t="str">
        <f>HYPERLINK("http://www.eatonpowersource.com/products/configure/industrial%20valves/details/02-400173","02-400173")</f>
        <v>02-400173</v>
      </c>
      <c r="B4044" s="6" t="s">
        <v>4003</v>
      </c>
    </row>
    <row r="4045" spans="1:2" x14ac:dyDescent="0.3">
      <c r="A4045" s="7" t="str">
        <f>HYPERLINK("http://www.eatonpowersource.com/products/configure/industrial%20valves/details/02-411895","02-411895")</f>
        <v>02-411895</v>
      </c>
      <c r="B4045" s="8" t="s">
        <v>4004</v>
      </c>
    </row>
    <row r="4046" spans="1:2" x14ac:dyDescent="0.3">
      <c r="A4046" s="5" t="str">
        <f>HYPERLINK("http://www.eatonpowersource.com/products/configure/industrial%20valves/details/02-412313","02-412313")</f>
        <v>02-412313</v>
      </c>
      <c r="B4046" s="6" t="s">
        <v>4005</v>
      </c>
    </row>
    <row r="4047" spans="1:2" x14ac:dyDescent="0.3">
      <c r="A4047" s="7" t="str">
        <f>HYPERLINK("http://www.eatonpowersource.com/products/configure/industrial%20valves/details/02-412669","02-412669")</f>
        <v>02-412669</v>
      </c>
      <c r="B4047" s="8" t="s">
        <v>4006</v>
      </c>
    </row>
    <row r="4048" spans="1:2" x14ac:dyDescent="0.3">
      <c r="A4048" s="5" t="str">
        <f>HYPERLINK("http://www.eatonpowersource.com/products/configure/industrial%20valves/details/02-412710","02-412710")</f>
        <v>02-412710</v>
      </c>
      <c r="B4048" s="6" t="s">
        <v>4007</v>
      </c>
    </row>
    <row r="4049" spans="1:2" x14ac:dyDescent="0.3">
      <c r="A4049" s="7" t="str">
        <f>HYPERLINK("http://www.eatonpowersource.com/products/configure/industrial%20valves/details/02-412733","02-412733")</f>
        <v>02-412733</v>
      </c>
      <c r="B4049" s="8" t="s">
        <v>4008</v>
      </c>
    </row>
    <row r="4050" spans="1:2" x14ac:dyDescent="0.3">
      <c r="A4050" s="5" t="str">
        <f>HYPERLINK("http://www.eatonpowersource.com/products/configure/industrial%20valves/details/02-412941","02-412941")</f>
        <v>02-412941</v>
      </c>
      <c r="B4050" s="6" t="s">
        <v>4009</v>
      </c>
    </row>
    <row r="4051" spans="1:2" x14ac:dyDescent="0.3">
      <c r="A4051" s="7" t="str">
        <f>HYPERLINK("http://www.eatonpowersource.com/products/configure/industrial%20valves/details/02-412947","02-412947")</f>
        <v>02-412947</v>
      </c>
      <c r="B4051" s="8" t="s">
        <v>4010</v>
      </c>
    </row>
    <row r="4052" spans="1:2" x14ac:dyDescent="0.3">
      <c r="A4052" s="5" t="str">
        <f>HYPERLINK("http://www.eatonpowersource.com/products/configure/industrial%20valves/details/02-413040","02-413040")</f>
        <v>02-413040</v>
      </c>
      <c r="B4052" s="6" t="s">
        <v>4011</v>
      </c>
    </row>
    <row r="4053" spans="1:2" x14ac:dyDescent="0.3">
      <c r="A4053" s="7" t="str">
        <f>HYPERLINK("http://www.eatonpowersource.com/products/configure/industrial%20valves/details/02-413117","02-413117")</f>
        <v>02-413117</v>
      </c>
      <c r="B4053" s="8" t="s">
        <v>4012</v>
      </c>
    </row>
    <row r="4054" spans="1:2" x14ac:dyDescent="0.3">
      <c r="A4054" s="5" t="str">
        <f>HYPERLINK("http://www.eatonpowersource.com/products/configure/industrial%20valves/details/02-413249","02-413249")</f>
        <v>02-413249</v>
      </c>
      <c r="B4054" s="6" t="s">
        <v>4013</v>
      </c>
    </row>
    <row r="4055" spans="1:2" x14ac:dyDescent="0.3">
      <c r="A4055" s="7" t="str">
        <f>HYPERLINK("http://www.eatonpowersource.com/products/configure/industrial%20valves/details/02-413418","02-413418")</f>
        <v>02-413418</v>
      </c>
      <c r="B4055" s="8" t="s">
        <v>4014</v>
      </c>
    </row>
    <row r="4056" spans="1:2" x14ac:dyDescent="0.3">
      <c r="A4056" s="5" t="str">
        <f>HYPERLINK("http://www.eatonpowersource.com/products/configure/industrial%20valves/details/02-413423","02-413423")</f>
        <v>02-413423</v>
      </c>
      <c r="B4056" s="6" t="s">
        <v>4015</v>
      </c>
    </row>
    <row r="4057" spans="1:2" x14ac:dyDescent="0.3">
      <c r="A4057" s="7" t="str">
        <f>HYPERLINK("http://www.eatonpowersource.com/products/configure/industrial%20valves/details/02-413654","02-413654")</f>
        <v>02-413654</v>
      </c>
      <c r="B4057" s="8" t="s">
        <v>4016</v>
      </c>
    </row>
    <row r="4058" spans="1:2" x14ac:dyDescent="0.3">
      <c r="A4058" s="5" t="str">
        <f>HYPERLINK("http://www.eatonpowersource.com/products/configure/industrial%20valves/details/02-413851","02-413851")</f>
        <v>02-413851</v>
      </c>
      <c r="B4058" s="6" t="s">
        <v>4017</v>
      </c>
    </row>
    <row r="4059" spans="1:2" x14ac:dyDescent="0.3">
      <c r="A4059" s="7" t="str">
        <f>HYPERLINK("http://www.eatonpowersource.com/products/configure/industrial%20valves/details/02-413871","02-413871")</f>
        <v>02-413871</v>
      </c>
      <c r="B4059" s="8" t="s">
        <v>4018</v>
      </c>
    </row>
    <row r="4060" spans="1:2" x14ac:dyDescent="0.3">
      <c r="A4060" s="5" t="str">
        <f>HYPERLINK("http://www.eatonpowersource.com/products/configure/industrial%20valves/details/02-414993","02-414993")</f>
        <v>02-414993</v>
      </c>
      <c r="B4060" s="6" t="s">
        <v>4019</v>
      </c>
    </row>
    <row r="4061" spans="1:2" x14ac:dyDescent="0.3">
      <c r="A4061" s="7" t="str">
        <f>HYPERLINK("http://www.eatonpowersource.com/products/configure/industrial%20valves/details/834an00003a","834AN00003A")</f>
        <v>834AN00003A</v>
      </c>
      <c r="B4061" s="8" t="s">
        <v>4020</v>
      </c>
    </row>
    <row r="4062" spans="1:2" x14ac:dyDescent="0.3">
      <c r="A4062" s="5" t="str">
        <f>HYPERLINK("http://www.eatonpowersource.com/products/configure/industrial%20valves/details/834an00012a","834AN00012A")</f>
        <v>834AN00012A</v>
      </c>
      <c r="B4062" s="6" t="s">
        <v>4021</v>
      </c>
    </row>
    <row r="4063" spans="1:2" x14ac:dyDescent="0.3">
      <c r="A4063" s="7" t="str">
        <f>HYPERLINK("http://www.eatonpowersource.com/products/configure/industrial%20valves/details/834an00058a","834AN00058A")</f>
        <v>834AN00058A</v>
      </c>
      <c r="B4063" s="8" t="s">
        <v>4022</v>
      </c>
    </row>
    <row r="4064" spans="1:2" x14ac:dyDescent="0.3">
      <c r="A4064" s="5" t="str">
        <f>HYPERLINK("http://www.eatonpowersource.com/products/configure/industrial%20valves/details/02-108022","02-108022")</f>
        <v>02-108022</v>
      </c>
      <c r="B4064" s="6" t="s">
        <v>4023</v>
      </c>
    </row>
    <row r="4065" spans="1:2" x14ac:dyDescent="0.3">
      <c r="A4065" s="7" t="str">
        <f>HYPERLINK("http://www.eatonpowersource.com/products/configure/industrial%20valves/details/02-110489","02-110489")</f>
        <v>02-110489</v>
      </c>
      <c r="B4065" s="8" t="s">
        <v>4024</v>
      </c>
    </row>
    <row r="4066" spans="1:2" x14ac:dyDescent="0.3">
      <c r="A4066" s="5" t="str">
        <f>HYPERLINK("http://www.eatonpowersource.com/products/configure/industrial%20valves/details/02-135150","02-135150")</f>
        <v>02-135150</v>
      </c>
      <c r="B4066" s="6" t="s">
        <v>4025</v>
      </c>
    </row>
    <row r="4067" spans="1:2" x14ac:dyDescent="0.3">
      <c r="A4067" s="7" t="str">
        <f>HYPERLINK("http://www.eatonpowersource.com/products/configure/industrial%20valves/details/02-135160","02-135160")</f>
        <v>02-135160</v>
      </c>
      <c r="B4067" s="8" t="s">
        <v>4026</v>
      </c>
    </row>
    <row r="4068" spans="1:2" x14ac:dyDescent="0.3">
      <c r="A4068" s="5" t="str">
        <f>HYPERLINK("http://www.eatonpowersource.com/products/configure/industrial%20valves/details/02-135161","02-135161")</f>
        <v>02-135161</v>
      </c>
      <c r="B4068" s="6" t="s">
        <v>4027</v>
      </c>
    </row>
    <row r="4069" spans="1:2" x14ac:dyDescent="0.3">
      <c r="A4069" s="7" t="str">
        <f>HYPERLINK("http://www.eatonpowersource.com/products/configure/industrial%20valves/details/02-135162","02-135162")</f>
        <v>02-135162</v>
      </c>
      <c r="B4069" s="8" t="s">
        <v>4028</v>
      </c>
    </row>
    <row r="4070" spans="1:2" x14ac:dyDescent="0.3">
      <c r="A4070" s="5" t="str">
        <f>HYPERLINK("http://www.eatonpowersource.com/products/configure/industrial%20valves/details/02-138967","02-138967")</f>
        <v>02-138967</v>
      </c>
      <c r="B4070" s="6" t="s">
        <v>4029</v>
      </c>
    </row>
    <row r="4071" spans="1:2" x14ac:dyDescent="0.3">
      <c r="A4071" s="7" t="str">
        <f>HYPERLINK("http://www.eatonpowersource.com/products/configure/industrial%20valves/details/02-138968","02-138968")</f>
        <v>02-138968</v>
      </c>
      <c r="B4071" s="8" t="s">
        <v>4030</v>
      </c>
    </row>
    <row r="4072" spans="1:2" x14ac:dyDescent="0.3">
      <c r="A4072" s="5" t="str">
        <f>HYPERLINK("http://www.eatonpowersource.com/products/configure/industrial%20valves/details/02-138971","02-138971")</f>
        <v>02-138971</v>
      </c>
      <c r="B4072" s="6" t="s">
        <v>4031</v>
      </c>
    </row>
    <row r="4073" spans="1:2" x14ac:dyDescent="0.3">
      <c r="A4073" s="7" t="str">
        <f>HYPERLINK("http://www.eatonpowersource.com/products/configure/industrial%20valves/details/02-138976","02-138976")</f>
        <v>02-138976</v>
      </c>
      <c r="B4073" s="8" t="s">
        <v>4032</v>
      </c>
    </row>
    <row r="4074" spans="1:2" x14ac:dyDescent="0.3">
      <c r="A4074" s="5" t="str">
        <f>HYPERLINK("http://www.eatonpowersource.com/products/configure/industrial%20valves/details/02-138977","02-138977")</f>
        <v>02-138977</v>
      </c>
      <c r="B4074" s="6" t="s">
        <v>4033</v>
      </c>
    </row>
    <row r="4075" spans="1:2" x14ac:dyDescent="0.3">
      <c r="A4075" s="7" t="str">
        <f>HYPERLINK("http://www.eatonpowersource.com/products/configure/industrial%20valves/details/02-140085","02-140085")</f>
        <v>02-140085</v>
      </c>
      <c r="B4075" s="8" t="s">
        <v>4034</v>
      </c>
    </row>
    <row r="4076" spans="1:2" x14ac:dyDescent="0.3">
      <c r="A4076" s="5" t="str">
        <f>HYPERLINK("http://www.eatonpowersource.com/products/configure/industrial%20valves/details/02-145945","02-145945")</f>
        <v>02-145945</v>
      </c>
      <c r="B4076" s="6" t="s">
        <v>4035</v>
      </c>
    </row>
    <row r="4077" spans="1:2" x14ac:dyDescent="0.3">
      <c r="A4077" s="7" t="str">
        <f>HYPERLINK("http://www.eatonpowersource.com/products/configure/industrial%20valves/details/02-145953","02-145953")</f>
        <v>02-145953</v>
      </c>
      <c r="B4077" s="8" t="s">
        <v>4036</v>
      </c>
    </row>
    <row r="4078" spans="1:2" x14ac:dyDescent="0.3">
      <c r="A4078" s="5" t="str">
        <f>HYPERLINK("http://www.eatonpowersource.com/products/configure/industrial%20valves/details/02-145955","02-145955")</f>
        <v>02-145955</v>
      </c>
      <c r="B4078" s="6" t="s">
        <v>4037</v>
      </c>
    </row>
    <row r="4079" spans="1:2" x14ac:dyDescent="0.3">
      <c r="A4079" s="7" t="str">
        <f>HYPERLINK("http://www.eatonpowersource.com/products/configure/industrial%20valves/details/02-145956","02-145956")</f>
        <v>02-145956</v>
      </c>
      <c r="B4079" s="8" t="s">
        <v>4038</v>
      </c>
    </row>
    <row r="4080" spans="1:2" x14ac:dyDescent="0.3">
      <c r="A4080" s="5" t="str">
        <f>HYPERLINK("http://www.eatonpowersource.com/products/configure/industrial%20valves/details/02-145957","02-145957")</f>
        <v>02-145957</v>
      </c>
      <c r="B4080" s="6" t="s">
        <v>4039</v>
      </c>
    </row>
    <row r="4081" spans="1:2" x14ac:dyDescent="0.3">
      <c r="A4081" s="7" t="str">
        <f>HYPERLINK("http://www.eatonpowersource.com/products/configure/industrial%20valves/details/02-145958","02-145958")</f>
        <v>02-145958</v>
      </c>
      <c r="B4081" s="8" t="s">
        <v>4040</v>
      </c>
    </row>
    <row r="4082" spans="1:2" x14ac:dyDescent="0.3">
      <c r="A4082" s="5" t="str">
        <f>HYPERLINK("http://www.eatonpowersource.com/products/configure/industrial%20valves/details/02-145959","02-145959")</f>
        <v>02-145959</v>
      </c>
      <c r="B4082" s="6" t="s">
        <v>4041</v>
      </c>
    </row>
    <row r="4083" spans="1:2" x14ac:dyDescent="0.3">
      <c r="A4083" s="7" t="str">
        <f>HYPERLINK("http://www.eatonpowersource.com/products/configure/industrial%20valves/details/02-146066","02-146066")</f>
        <v>02-146066</v>
      </c>
      <c r="B4083" s="8" t="s">
        <v>4042</v>
      </c>
    </row>
    <row r="4084" spans="1:2" x14ac:dyDescent="0.3">
      <c r="A4084" s="5" t="str">
        <f>HYPERLINK("http://www.eatonpowersource.com/products/configure/industrial%20valves/details/02-146067","02-146067")</f>
        <v>02-146067</v>
      </c>
      <c r="B4084" s="6" t="s">
        <v>4043</v>
      </c>
    </row>
    <row r="4085" spans="1:2" x14ac:dyDescent="0.3">
      <c r="A4085" s="7" t="str">
        <f>HYPERLINK("http://www.eatonpowersource.com/products/configure/industrial%20valves/details/02-146068","02-146068")</f>
        <v>02-146068</v>
      </c>
      <c r="B4085" s="8" t="s">
        <v>4044</v>
      </c>
    </row>
    <row r="4086" spans="1:2" x14ac:dyDescent="0.3">
      <c r="A4086" s="5" t="str">
        <f>HYPERLINK("http://www.eatonpowersource.com/products/configure/industrial%20valves/details/02-146097","02-146097")</f>
        <v>02-146097</v>
      </c>
      <c r="B4086" s="6" t="s">
        <v>4045</v>
      </c>
    </row>
    <row r="4087" spans="1:2" x14ac:dyDescent="0.3">
      <c r="A4087" s="7" t="str">
        <f>HYPERLINK("http://www.eatonpowersource.com/products/configure/industrial%20valves/details/02-146720","02-146720")</f>
        <v>02-146720</v>
      </c>
      <c r="B4087" s="8" t="s">
        <v>4046</v>
      </c>
    </row>
    <row r="4088" spans="1:2" x14ac:dyDescent="0.3">
      <c r="A4088" s="5" t="str">
        <f>HYPERLINK("http://www.eatonpowersource.com/products/configure/industrial%20valves/details/02-146721","02-146721")</f>
        <v>02-146721</v>
      </c>
      <c r="B4088" s="6" t="s">
        <v>4047</v>
      </c>
    </row>
    <row r="4089" spans="1:2" x14ac:dyDescent="0.3">
      <c r="A4089" s="7" t="str">
        <f>HYPERLINK("http://www.eatonpowersource.com/products/configure/industrial%20valves/details/02-146722","02-146722")</f>
        <v>02-146722</v>
      </c>
      <c r="B4089" s="8" t="s">
        <v>4048</v>
      </c>
    </row>
    <row r="4090" spans="1:2" x14ac:dyDescent="0.3">
      <c r="A4090" s="5" t="str">
        <f>HYPERLINK("http://www.eatonpowersource.com/products/configure/industrial%20valves/details/02-146723","02-146723")</f>
        <v>02-146723</v>
      </c>
      <c r="B4090" s="6" t="s">
        <v>4049</v>
      </c>
    </row>
    <row r="4091" spans="1:2" x14ac:dyDescent="0.3">
      <c r="A4091" s="7" t="str">
        <f>HYPERLINK("http://www.eatonpowersource.com/products/configure/industrial%20valves/details/02-146724","02-146724")</f>
        <v>02-146724</v>
      </c>
      <c r="B4091" s="8" t="s">
        <v>4050</v>
      </c>
    </row>
    <row r="4092" spans="1:2" x14ac:dyDescent="0.3">
      <c r="A4092" s="5" t="str">
        <f>HYPERLINK("http://www.eatonpowersource.com/products/configure/industrial%20valves/details/02-146730","02-146730")</f>
        <v>02-146730</v>
      </c>
      <c r="B4092" s="6" t="s">
        <v>4051</v>
      </c>
    </row>
    <row r="4093" spans="1:2" x14ac:dyDescent="0.3">
      <c r="A4093" s="7" t="str">
        <f>HYPERLINK("http://www.eatonpowersource.com/products/configure/industrial%20valves/details/02-146924","02-146924")</f>
        <v>02-146924</v>
      </c>
      <c r="B4093" s="8" t="s">
        <v>4052</v>
      </c>
    </row>
    <row r="4094" spans="1:2" x14ac:dyDescent="0.3">
      <c r="A4094" s="5" t="str">
        <f>HYPERLINK("http://www.eatonpowersource.com/products/configure/industrial%20valves/details/02-146925","02-146925")</f>
        <v>02-146925</v>
      </c>
      <c r="B4094" s="6" t="s">
        <v>4053</v>
      </c>
    </row>
    <row r="4095" spans="1:2" x14ac:dyDescent="0.3">
      <c r="A4095" s="7" t="str">
        <f>HYPERLINK("http://www.eatonpowersource.com/products/configure/industrial%20valves/details/02-146926","02-146926")</f>
        <v>02-146926</v>
      </c>
      <c r="B4095" s="8" t="s">
        <v>4054</v>
      </c>
    </row>
    <row r="4096" spans="1:2" x14ac:dyDescent="0.3">
      <c r="A4096" s="5" t="str">
        <f>HYPERLINK("http://www.eatonpowersource.com/products/configure/industrial%20valves/details/02-146927","02-146927")</f>
        <v>02-146927</v>
      </c>
      <c r="B4096" s="6" t="s">
        <v>4055</v>
      </c>
    </row>
    <row r="4097" spans="1:2" x14ac:dyDescent="0.3">
      <c r="A4097" s="7" t="str">
        <f>HYPERLINK("http://www.eatonpowersource.com/products/configure/industrial%20valves/details/02-146928","02-146928")</f>
        <v>02-146928</v>
      </c>
      <c r="B4097" s="8" t="s">
        <v>4056</v>
      </c>
    </row>
    <row r="4098" spans="1:2" x14ac:dyDescent="0.3">
      <c r="A4098" s="5" t="str">
        <f>HYPERLINK("http://www.eatonpowersource.com/products/configure/industrial%20valves/details/02-146929","02-146929")</f>
        <v>02-146929</v>
      </c>
      <c r="B4098" s="6" t="s">
        <v>4057</v>
      </c>
    </row>
    <row r="4099" spans="1:2" x14ac:dyDescent="0.3">
      <c r="A4099" s="7" t="str">
        <f>HYPERLINK("http://www.eatonpowersource.com/products/configure/industrial%20valves/details/02-146930","02-146930")</f>
        <v>02-146930</v>
      </c>
      <c r="B4099" s="8" t="s">
        <v>4058</v>
      </c>
    </row>
    <row r="4100" spans="1:2" x14ac:dyDescent="0.3">
      <c r="A4100" s="5" t="str">
        <f>HYPERLINK("http://www.eatonpowersource.com/products/configure/industrial%20valves/details/02-146995","02-146995")</f>
        <v>02-146995</v>
      </c>
      <c r="B4100" s="6" t="s">
        <v>4059</v>
      </c>
    </row>
    <row r="4101" spans="1:2" x14ac:dyDescent="0.3">
      <c r="A4101" s="7" t="str">
        <f>HYPERLINK("http://www.eatonpowersource.com/products/configure/industrial%20valves/details/02-147108","02-147108")</f>
        <v>02-147108</v>
      </c>
      <c r="B4101" s="8" t="s">
        <v>4060</v>
      </c>
    </row>
    <row r="4102" spans="1:2" x14ac:dyDescent="0.3">
      <c r="A4102" s="5" t="str">
        <f>HYPERLINK("http://www.eatonpowersource.com/products/configure/industrial%20valves/details/02-147171","02-147171")</f>
        <v>02-147171</v>
      </c>
      <c r="B4102" s="6" t="s">
        <v>4061</v>
      </c>
    </row>
    <row r="4103" spans="1:2" x14ac:dyDescent="0.3">
      <c r="A4103" s="7" t="str">
        <f>HYPERLINK("http://www.eatonpowersource.com/products/configure/industrial%20valves/details/02-147247","02-147247")</f>
        <v>02-147247</v>
      </c>
      <c r="B4103" s="8" t="s">
        <v>4062</v>
      </c>
    </row>
    <row r="4104" spans="1:2" x14ac:dyDescent="0.3">
      <c r="A4104" s="5" t="str">
        <f>HYPERLINK("http://www.eatonpowersource.com/products/configure/industrial%20valves/details/02-147273","02-147273")</f>
        <v>02-147273</v>
      </c>
      <c r="B4104" s="6" t="s">
        <v>4063</v>
      </c>
    </row>
    <row r="4105" spans="1:2" x14ac:dyDescent="0.3">
      <c r="A4105" s="7" t="str">
        <f>HYPERLINK("http://www.eatonpowersource.com/products/configure/industrial%20valves/details/02-147284","02-147284")</f>
        <v>02-147284</v>
      </c>
      <c r="B4105" s="8" t="s">
        <v>4064</v>
      </c>
    </row>
    <row r="4106" spans="1:2" x14ac:dyDescent="0.3">
      <c r="A4106" s="5" t="str">
        <f>HYPERLINK("http://www.eatonpowersource.com/products/configure/industrial%20valves/details/02-147314","02-147314")</f>
        <v>02-147314</v>
      </c>
      <c r="B4106" s="6" t="s">
        <v>4065</v>
      </c>
    </row>
    <row r="4107" spans="1:2" x14ac:dyDescent="0.3">
      <c r="A4107" s="7" t="str">
        <f>HYPERLINK("http://www.eatonpowersource.com/products/configure/industrial%20valves/details/02-147315","02-147315")</f>
        <v>02-147315</v>
      </c>
      <c r="B4107" s="8" t="s">
        <v>4066</v>
      </c>
    </row>
    <row r="4108" spans="1:2" x14ac:dyDescent="0.3">
      <c r="A4108" s="5" t="str">
        <f>HYPERLINK("http://www.eatonpowersource.com/products/configure/industrial%20valves/details/02-147347","02-147347")</f>
        <v>02-147347</v>
      </c>
      <c r="B4108" s="6" t="s">
        <v>4067</v>
      </c>
    </row>
    <row r="4109" spans="1:2" x14ac:dyDescent="0.3">
      <c r="A4109" s="7" t="str">
        <f>HYPERLINK("http://www.eatonpowersource.com/products/configure/industrial%20valves/details/02-147391","02-147391")</f>
        <v>02-147391</v>
      </c>
      <c r="B4109" s="8" t="s">
        <v>4068</v>
      </c>
    </row>
    <row r="4110" spans="1:2" x14ac:dyDescent="0.3">
      <c r="A4110" s="5" t="str">
        <f>HYPERLINK("http://www.eatonpowersource.com/products/configure/industrial%20valves/details/02-147500","02-147500")</f>
        <v>02-147500</v>
      </c>
      <c r="B4110" s="6" t="s">
        <v>4069</v>
      </c>
    </row>
    <row r="4111" spans="1:2" x14ac:dyDescent="0.3">
      <c r="A4111" s="7" t="str">
        <f>HYPERLINK("http://www.eatonpowersource.com/products/configure/industrial%20valves/details/02-147539","02-147539")</f>
        <v>02-147539</v>
      </c>
      <c r="B4111" s="8" t="s">
        <v>4070</v>
      </c>
    </row>
    <row r="4112" spans="1:2" x14ac:dyDescent="0.3">
      <c r="A4112" s="5" t="str">
        <f>HYPERLINK("http://www.eatonpowersource.com/products/configure/industrial%20valves/details/02-147540","02-147540")</f>
        <v>02-147540</v>
      </c>
      <c r="B4112" s="6" t="s">
        <v>4071</v>
      </c>
    </row>
    <row r="4113" spans="1:2" x14ac:dyDescent="0.3">
      <c r="A4113" s="7" t="str">
        <f>HYPERLINK("http://www.eatonpowersource.com/products/configure/industrial%20valves/details/02-147587","02-147587")</f>
        <v>02-147587</v>
      </c>
      <c r="B4113" s="8" t="s">
        <v>4072</v>
      </c>
    </row>
    <row r="4114" spans="1:2" x14ac:dyDescent="0.3">
      <c r="A4114" s="5" t="str">
        <f>HYPERLINK("http://www.eatonpowersource.com/products/configure/industrial%20valves/details/02-147588","02-147588")</f>
        <v>02-147588</v>
      </c>
      <c r="B4114" s="6" t="s">
        <v>4073</v>
      </c>
    </row>
    <row r="4115" spans="1:2" x14ac:dyDescent="0.3">
      <c r="A4115" s="7" t="str">
        <f>HYPERLINK("http://www.eatonpowersource.com/products/configure/industrial%20valves/details/02-147599","02-147599")</f>
        <v>02-147599</v>
      </c>
      <c r="B4115" s="8" t="s">
        <v>4074</v>
      </c>
    </row>
    <row r="4116" spans="1:2" x14ac:dyDescent="0.3">
      <c r="A4116" s="5" t="str">
        <f>HYPERLINK("http://www.eatonpowersource.com/products/configure/industrial%20valves/details/02-147600","02-147600")</f>
        <v>02-147600</v>
      </c>
      <c r="B4116" s="6" t="s">
        <v>4075</v>
      </c>
    </row>
    <row r="4117" spans="1:2" x14ac:dyDescent="0.3">
      <c r="A4117" s="7" t="str">
        <f>HYPERLINK("http://www.eatonpowersource.com/products/configure/industrial%20valves/details/02-147601","02-147601")</f>
        <v>02-147601</v>
      </c>
      <c r="B4117" s="8" t="s">
        <v>4076</v>
      </c>
    </row>
    <row r="4118" spans="1:2" x14ac:dyDescent="0.3">
      <c r="A4118" s="5" t="str">
        <f>HYPERLINK("http://www.eatonpowersource.com/products/configure/industrial%20valves/details/02-147623","02-147623")</f>
        <v>02-147623</v>
      </c>
      <c r="B4118" s="6" t="s">
        <v>4077</v>
      </c>
    </row>
    <row r="4119" spans="1:2" x14ac:dyDescent="0.3">
      <c r="A4119" s="7" t="str">
        <f>HYPERLINK("http://www.eatonpowersource.com/products/configure/industrial%20valves/details/02-147633","02-147633")</f>
        <v>02-147633</v>
      </c>
      <c r="B4119" s="8" t="s">
        <v>4078</v>
      </c>
    </row>
    <row r="4120" spans="1:2" x14ac:dyDescent="0.3">
      <c r="A4120" s="5" t="str">
        <f>HYPERLINK("http://www.eatonpowersource.com/products/configure/industrial%20valves/details/02-147636","02-147636")</f>
        <v>02-147636</v>
      </c>
      <c r="B4120" s="6" t="s">
        <v>4079</v>
      </c>
    </row>
    <row r="4121" spans="1:2" x14ac:dyDescent="0.3">
      <c r="A4121" s="7" t="str">
        <f>HYPERLINK("http://www.eatonpowersource.com/products/configure/industrial%20valves/details/02-147653","02-147653")</f>
        <v>02-147653</v>
      </c>
      <c r="B4121" s="8" t="s">
        <v>4080</v>
      </c>
    </row>
    <row r="4122" spans="1:2" x14ac:dyDescent="0.3">
      <c r="A4122" s="5" t="str">
        <f>HYPERLINK("http://www.eatonpowersource.com/products/configure/industrial%20valves/details/02-147654","02-147654")</f>
        <v>02-147654</v>
      </c>
      <c r="B4122" s="6" t="s">
        <v>4081</v>
      </c>
    </row>
    <row r="4123" spans="1:2" x14ac:dyDescent="0.3">
      <c r="A4123" s="7" t="str">
        <f>HYPERLINK("http://www.eatonpowersource.com/products/configure/industrial%20valves/details/02-147663","02-147663")</f>
        <v>02-147663</v>
      </c>
      <c r="B4123" s="8" t="s">
        <v>4082</v>
      </c>
    </row>
    <row r="4124" spans="1:2" x14ac:dyDescent="0.3">
      <c r="A4124" s="5" t="str">
        <f>HYPERLINK("http://www.eatonpowersource.com/products/configure/industrial%20valves/details/02-147675","02-147675")</f>
        <v>02-147675</v>
      </c>
      <c r="B4124" s="6" t="s">
        <v>4083</v>
      </c>
    </row>
    <row r="4125" spans="1:2" x14ac:dyDescent="0.3">
      <c r="A4125" s="7" t="str">
        <f>HYPERLINK("http://www.eatonpowersource.com/products/configure/industrial%20valves/details/02-147695","02-147695")</f>
        <v>02-147695</v>
      </c>
      <c r="B4125" s="8" t="s">
        <v>4084</v>
      </c>
    </row>
    <row r="4126" spans="1:2" x14ac:dyDescent="0.3">
      <c r="A4126" s="5" t="str">
        <f>HYPERLINK("http://www.eatonpowersource.com/products/configure/industrial%20valves/details/02-147696","02-147696")</f>
        <v>02-147696</v>
      </c>
      <c r="B4126" s="6" t="s">
        <v>4085</v>
      </c>
    </row>
    <row r="4127" spans="1:2" x14ac:dyDescent="0.3">
      <c r="A4127" s="7" t="str">
        <f>HYPERLINK("http://www.eatonpowersource.com/products/configure/industrial%20valves/details/02-147699","02-147699")</f>
        <v>02-147699</v>
      </c>
      <c r="B4127" s="8" t="s">
        <v>4086</v>
      </c>
    </row>
    <row r="4128" spans="1:2" x14ac:dyDescent="0.3">
      <c r="A4128" s="5" t="str">
        <f>HYPERLINK("http://www.eatonpowersource.com/products/configure/industrial%20valves/details/02-148055","02-148055")</f>
        <v>02-148055</v>
      </c>
      <c r="B4128" s="6" t="s">
        <v>4087</v>
      </c>
    </row>
    <row r="4129" spans="1:2" x14ac:dyDescent="0.3">
      <c r="A4129" s="7" t="str">
        <f>HYPERLINK("http://www.eatonpowersource.com/products/configure/industrial%20valves/details/02-148610","02-148610")</f>
        <v>02-148610</v>
      </c>
      <c r="B4129" s="8" t="s">
        <v>4088</v>
      </c>
    </row>
    <row r="4130" spans="1:2" x14ac:dyDescent="0.3">
      <c r="A4130" s="5" t="str">
        <f>HYPERLINK("http://www.eatonpowersource.com/products/configure/industrial%20valves/details/02-149542","02-149542")</f>
        <v>02-149542</v>
      </c>
      <c r="B4130" s="6" t="s">
        <v>4089</v>
      </c>
    </row>
    <row r="4131" spans="1:2" x14ac:dyDescent="0.3">
      <c r="A4131" s="7" t="str">
        <f>HYPERLINK("http://www.eatonpowersource.com/products/configure/industrial%20valves/details/02-154278","02-154278")</f>
        <v>02-154278</v>
      </c>
      <c r="B4131" s="8" t="s">
        <v>4090</v>
      </c>
    </row>
    <row r="4132" spans="1:2" x14ac:dyDescent="0.3">
      <c r="A4132" s="5" t="str">
        <f>HYPERLINK("http://www.eatonpowersource.com/products/configure/industrial%20valves/details/02-155321","02-155321")</f>
        <v>02-155321</v>
      </c>
      <c r="B4132" s="6" t="s">
        <v>4091</v>
      </c>
    </row>
    <row r="4133" spans="1:2" x14ac:dyDescent="0.3">
      <c r="A4133" s="7" t="str">
        <f>HYPERLINK("http://www.eatonpowersource.com/products/configure/industrial%20valves/details/02-155923","02-155923")</f>
        <v>02-155923</v>
      </c>
      <c r="B4133" s="8" t="s">
        <v>4092</v>
      </c>
    </row>
    <row r="4134" spans="1:2" x14ac:dyDescent="0.3">
      <c r="A4134" s="5" t="str">
        <f>HYPERLINK("http://www.eatonpowersource.com/products/configure/industrial%20valves/details/02-155950","02-155950")</f>
        <v>02-155950</v>
      </c>
      <c r="B4134" s="6" t="s">
        <v>4093</v>
      </c>
    </row>
    <row r="4135" spans="1:2" x14ac:dyDescent="0.3">
      <c r="A4135" s="7" t="str">
        <f>HYPERLINK("http://www.eatonpowersource.com/products/configure/industrial%20valves/details/02-155951","02-155951")</f>
        <v>02-155951</v>
      </c>
      <c r="B4135" s="8" t="s">
        <v>4094</v>
      </c>
    </row>
    <row r="4136" spans="1:2" x14ac:dyDescent="0.3">
      <c r="A4136" s="5" t="str">
        <f>HYPERLINK("http://www.eatonpowersource.com/products/configure/industrial%20valves/details/02-155953","02-155953")</f>
        <v>02-155953</v>
      </c>
      <c r="B4136" s="6" t="s">
        <v>4095</v>
      </c>
    </row>
    <row r="4137" spans="1:2" x14ac:dyDescent="0.3">
      <c r="A4137" s="7" t="str">
        <f>HYPERLINK("http://www.eatonpowersource.com/products/configure/industrial%20valves/details/02-155954","02-155954")</f>
        <v>02-155954</v>
      </c>
      <c r="B4137" s="8" t="s">
        <v>4096</v>
      </c>
    </row>
    <row r="4138" spans="1:2" x14ac:dyDescent="0.3">
      <c r="A4138" s="5" t="str">
        <f>HYPERLINK("http://www.eatonpowersource.com/products/configure/industrial%20valves/details/02-156031","02-156031")</f>
        <v>02-156031</v>
      </c>
      <c r="B4138" s="6" t="s">
        <v>4097</v>
      </c>
    </row>
    <row r="4139" spans="1:2" x14ac:dyDescent="0.3">
      <c r="A4139" s="7" t="str">
        <f>HYPERLINK("http://www.eatonpowersource.com/products/configure/industrial%20valves/details/02-156033","02-156033")</f>
        <v>02-156033</v>
      </c>
      <c r="B4139" s="8" t="s">
        <v>4098</v>
      </c>
    </row>
    <row r="4140" spans="1:2" x14ac:dyDescent="0.3">
      <c r="A4140" s="5" t="str">
        <f>HYPERLINK("http://www.eatonpowersource.com/products/configure/industrial%20valves/details/02-156041","02-156041")</f>
        <v>02-156041</v>
      </c>
      <c r="B4140" s="6" t="s">
        <v>4099</v>
      </c>
    </row>
    <row r="4141" spans="1:2" x14ac:dyDescent="0.3">
      <c r="A4141" s="7" t="str">
        <f>HYPERLINK("http://www.eatonpowersource.com/products/configure/industrial%20valves/details/02-156055","02-156055")</f>
        <v>02-156055</v>
      </c>
      <c r="B4141" s="8" t="s">
        <v>4100</v>
      </c>
    </row>
    <row r="4142" spans="1:2" x14ac:dyDescent="0.3">
      <c r="A4142" s="5" t="str">
        <f>HYPERLINK("http://www.eatonpowersource.com/products/configure/industrial%20valves/details/02-156062","02-156062")</f>
        <v>02-156062</v>
      </c>
      <c r="B4142" s="6" t="s">
        <v>4101</v>
      </c>
    </row>
    <row r="4143" spans="1:2" x14ac:dyDescent="0.3">
      <c r="A4143" s="7" t="str">
        <f>HYPERLINK("http://www.eatonpowersource.com/products/configure/industrial%20valves/details/02-156215","02-156215")</f>
        <v>02-156215</v>
      </c>
      <c r="B4143" s="8" t="s">
        <v>4102</v>
      </c>
    </row>
    <row r="4144" spans="1:2" x14ac:dyDescent="0.3">
      <c r="A4144" s="5" t="str">
        <f>HYPERLINK("http://www.eatonpowersource.com/products/configure/industrial%20valves/details/02-156247","02-156247")</f>
        <v>02-156247</v>
      </c>
      <c r="B4144" s="6" t="s">
        <v>4103</v>
      </c>
    </row>
    <row r="4145" spans="1:2" x14ac:dyDescent="0.3">
      <c r="A4145" s="7" t="str">
        <f>HYPERLINK("http://www.eatonpowersource.com/products/configure/industrial%20valves/details/02-156417","02-156417")</f>
        <v>02-156417</v>
      </c>
      <c r="B4145" s="8" t="s">
        <v>4104</v>
      </c>
    </row>
    <row r="4146" spans="1:2" x14ac:dyDescent="0.3">
      <c r="A4146" s="5" t="str">
        <f>HYPERLINK("http://www.eatonpowersource.com/products/configure/industrial%20valves/details/02-156448","02-156448")</f>
        <v>02-156448</v>
      </c>
      <c r="B4146" s="6" t="s">
        <v>4105</v>
      </c>
    </row>
    <row r="4147" spans="1:2" x14ac:dyDescent="0.3">
      <c r="A4147" s="7" t="str">
        <f>HYPERLINK("http://www.eatonpowersource.com/products/configure/industrial%20valves/details/02-156477","02-156477")</f>
        <v>02-156477</v>
      </c>
      <c r="B4147" s="8" t="s">
        <v>4106</v>
      </c>
    </row>
    <row r="4148" spans="1:2" x14ac:dyDescent="0.3">
      <c r="A4148" s="5" t="str">
        <f>HYPERLINK("http://www.eatonpowersource.com/products/configure/industrial%20valves/details/02-156650","02-156650")</f>
        <v>02-156650</v>
      </c>
      <c r="B4148" s="6" t="s">
        <v>4107</v>
      </c>
    </row>
    <row r="4149" spans="1:2" x14ac:dyDescent="0.3">
      <c r="A4149" s="7" t="str">
        <f>HYPERLINK("http://www.eatonpowersource.com/products/configure/industrial%20valves/details/02-156651","02-156651")</f>
        <v>02-156651</v>
      </c>
      <c r="B4149" s="8" t="s">
        <v>4108</v>
      </c>
    </row>
    <row r="4150" spans="1:2" x14ac:dyDescent="0.3">
      <c r="A4150" s="5" t="str">
        <f>HYPERLINK("http://www.eatonpowersource.com/products/configure/industrial%20valves/details/02-156652","02-156652")</f>
        <v>02-156652</v>
      </c>
      <c r="B4150" s="6" t="s">
        <v>4109</v>
      </c>
    </row>
    <row r="4151" spans="1:2" x14ac:dyDescent="0.3">
      <c r="A4151" s="7" t="str">
        <f>HYPERLINK("http://www.eatonpowersource.com/products/configure/industrial%20valves/details/02-156653","02-156653")</f>
        <v>02-156653</v>
      </c>
      <c r="B4151" s="8" t="s">
        <v>4110</v>
      </c>
    </row>
    <row r="4152" spans="1:2" x14ac:dyDescent="0.3">
      <c r="A4152" s="5" t="str">
        <f>HYPERLINK("http://www.eatonpowersource.com/products/configure/industrial%20valves/details/02-156659","02-156659")</f>
        <v>02-156659</v>
      </c>
      <c r="B4152" s="6" t="s">
        <v>4111</v>
      </c>
    </row>
    <row r="4153" spans="1:2" x14ac:dyDescent="0.3">
      <c r="A4153" s="7" t="str">
        <f>HYPERLINK("http://www.eatonpowersource.com/products/configure/industrial%20valves/details/02-156660","02-156660")</f>
        <v>02-156660</v>
      </c>
      <c r="B4153" s="8" t="s">
        <v>4112</v>
      </c>
    </row>
    <row r="4154" spans="1:2" x14ac:dyDescent="0.3">
      <c r="A4154" s="5" t="str">
        <f>HYPERLINK("http://www.eatonpowersource.com/products/configure/industrial%20valves/details/02-156738","02-156738")</f>
        <v>02-156738</v>
      </c>
      <c r="B4154" s="6" t="s">
        <v>4113</v>
      </c>
    </row>
    <row r="4155" spans="1:2" x14ac:dyDescent="0.3">
      <c r="A4155" s="7" t="str">
        <f>HYPERLINK("http://www.eatonpowersource.com/products/configure/industrial%20valves/details/02-156739","02-156739")</f>
        <v>02-156739</v>
      </c>
      <c r="B4155" s="8" t="s">
        <v>4114</v>
      </c>
    </row>
    <row r="4156" spans="1:2" x14ac:dyDescent="0.3">
      <c r="A4156" s="5" t="str">
        <f>HYPERLINK("http://www.eatonpowersource.com/products/configure/industrial%20valves/details/02-156852","02-156852")</f>
        <v>02-156852</v>
      </c>
      <c r="B4156" s="6" t="s">
        <v>4115</v>
      </c>
    </row>
    <row r="4157" spans="1:2" x14ac:dyDescent="0.3">
      <c r="A4157" s="7" t="str">
        <f>HYPERLINK("http://www.eatonpowersource.com/products/configure/industrial%20valves/details/02-156853","02-156853")</f>
        <v>02-156853</v>
      </c>
      <c r="B4157" s="8" t="s">
        <v>4116</v>
      </c>
    </row>
    <row r="4158" spans="1:2" x14ac:dyDescent="0.3">
      <c r="A4158" s="5" t="str">
        <f>HYPERLINK("http://www.eatonpowersource.com/products/configure/industrial%20valves/details/02-156943","02-156943")</f>
        <v>02-156943</v>
      </c>
      <c r="B4158" s="6" t="s">
        <v>4117</v>
      </c>
    </row>
    <row r="4159" spans="1:2" x14ac:dyDescent="0.3">
      <c r="A4159" s="7" t="str">
        <f>HYPERLINK("http://www.eatonpowersource.com/products/configure/industrial%20valves/details/02-156946","02-156946")</f>
        <v>02-156946</v>
      </c>
      <c r="B4159" s="8" t="s">
        <v>4118</v>
      </c>
    </row>
    <row r="4160" spans="1:2" x14ac:dyDescent="0.3">
      <c r="A4160" s="5" t="str">
        <f>HYPERLINK("http://www.eatonpowersource.com/products/configure/industrial%20valves/details/02-157008","02-157008")</f>
        <v>02-157008</v>
      </c>
      <c r="B4160" s="6" t="s">
        <v>4119</v>
      </c>
    </row>
    <row r="4161" spans="1:2" x14ac:dyDescent="0.3">
      <c r="A4161" s="7" t="str">
        <f>HYPERLINK("http://www.eatonpowersource.com/products/configure/industrial%20valves/details/02-157009","02-157009")</f>
        <v>02-157009</v>
      </c>
      <c r="B4161" s="8" t="s">
        <v>4120</v>
      </c>
    </row>
    <row r="4162" spans="1:2" x14ac:dyDescent="0.3">
      <c r="A4162" s="5" t="str">
        <f>HYPERLINK("http://www.eatonpowersource.com/products/configure/industrial%20valves/details/02-157027","02-157027")</f>
        <v>02-157027</v>
      </c>
      <c r="B4162" s="6" t="s">
        <v>4121</v>
      </c>
    </row>
    <row r="4163" spans="1:2" x14ac:dyDescent="0.3">
      <c r="A4163" s="7" t="str">
        <f>HYPERLINK("http://www.eatonpowersource.com/products/configure/industrial%20valves/details/02-157099","02-157099")</f>
        <v>02-157099</v>
      </c>
      <c r="B4163" s="8" t="s">
        <v>4122</v>
      </c>
    </row>
    <row r="4164" spans="1:2" x14ac:dyDescent="0.3">
      <c r="A4164" s="5" t="str">
        <f>HYPERLINK("http://www.eatonpowersource.com/products/configure/industrial%20valves/details/02-157183","02-157183")</f>
        <v>02-157183</v>
      </c>
      <c r="B4164" s="6" t="s">
        <v>4123</v>
      </c>
    </row>
    <row r="4165" spans="1:2" x14ac:dyDescent="0.3">
      <c r="A4165" s="7" t="str">
        <f>HYPERLINK("http://www.eatonpowersource.com/products/configure/industrial%20valves/details/02-157193","02-157193")</f>
        <v>02-157193</v>
      </c>
      <c r="B4165" s="8" t="s">
        <v>4124</v>
      </c>
    </row>
    <row r="4166" spans="1:2" x14ac:dyDescent="0.3">
      <c r="A4166" s="5" t="str">
        <f>HYPERLINK("http://www.eatonpowersource.com/products/configure/industrial%20valves/details/02-157194","02-157194")</f>
        <v>02-157194</v>
      </c>
      <c r="B4166" s="6" t="s">
        <v>4125</v>
      </c>
    </row>
    <row r="4167" spans="1:2" x14ac:dyDescent="0.3">
      <c r="A4167" s="7" t="str">
        <f>HYPERLINK("http://www.eatonpowersource.com/products/configure/industrial%20valves/details/02-157197","02-157197")</f>
        <v>02-157197</v>
      </c>
      <c r="B4167" s="8" t="s">
        <v>4126</v>
      </c>
    </row>
    <row r="4168" spans="1:2" x14ac:dyDescent="0.3">
      <c r="A4168" s="5" t="str">
        <f>HYPERLINK("http://www.eatonpowersource.com/products/configure/industrial%20valves/details/02-157198","02-157198")</f>
        <v>02-157198</v>
      </c>
      <c r="B4168" s="6" t="s">
        <v>4127</v>
      </c>
    </row>
    <row r="4169" spans="1:2" x14ac:dyDescent="0.3">
      <c r="A4169" s="7" t="str">
        <f>HYPERLINK("http://www.eatonpowersource.com/products/configure/industrial%20valves/details/02-157208","02-157208")</f>
        <v>02-157208</v>
      </c>
      <c r="B4169" s="8" t="s">
        <v>4128</v>
      </c>
    </row>
    <row r="4170" spans="1:2" x14ac:dyDescent="0.3">
      <c r="A4170" s="5" t="str">
        <f>HYPERLINK("http://www.eatonpowersource.com/products/configure/industrial%20valves/details/02-157263","02-157263")</f>
        <v>02-157263</v>
      </c>
      <c r="B4170" s="6" t="s">
        <v>4129</v>
      </c>
    </row>
    <row r="4171" spans="1:2" x14ac:dyDescent="0.3">
      <c r="A4171" s="7" t="str">
        <f>HYPERLINK("http://www.eatonpowersource.com/products/configure/industrial%20valves/details/02-157264","02-157264")</f>
        <v>02-157264</v>
      </c>
      <c r="B4171" s="8" t="s">
        <v>4130</v>
      </c>
    </row>
    <row r="4172" spans="1:2" x14ac:dyDescent="0.3">
      <c r="A4172" s="5" t="str">
        <f>HYPERLINK("http://www.eatonpowersource.com/products/configure/industrial%20valves/details/02-157265","02-157265")</f>
        <v>02-157265</v>
      </c>
      <c r="B4172" s="6" t="s">
        <v>4131</v>
      </c>
    </row>
    <row r="4173" spans="1:2" x14ac:dyDescent="0.3">
      <c r="A4173" s="7" t="str">
        <f>HYPERLINK("http://www.eatonpowersource.com/products/configure/industrial%20valves/details/02-157266","02-157266")</f>
        <v>02-157266</v>
      </c>
      <c r="B4173" s="8" t="s">
        <v>4132</v>
      </c>
    </row>
    <row r="4174" spans="1:2" x14ac:dyDescent="0.3">
      <c r="A4174" s="5" t="str">
        <f>HYPERLINK("http://www.eatonpowersource.com/products/configure/industrial%20valves/details/02-157267","02-157267")</f>
        <v>02-157267</v>
      </c>
      <c r="B4174" s="6" t="s">
        <v>4133</v>
      </c>
    </row>
    <row r="4175" spans="1:2" x14ac:dyDescent="0.3">
      <c r="A4175" s="7" t="str">
        <f>HYPERLINK("http://www.eatonpowersource.com/products/configure/industrial%20valves/details/02-157268","02-157268")</f>
        <v>02-157268</v>
      </c>
      <c r="B4175" s="8" t="s">
        <v>4134</v>
      </c>
    </row>
    <row r="4176" spans="1:2" x14ac:dyDescent="0.3">
      <c r="A4176" s="5" t="str">
        <f>HYPERLINK("http://www.eatonpowersource.com/products/configure/industrial%20valves/details/02-157450","02-157450")</f>
        <v>02-157450</v>
      </c>
      <c r="B4176" s="6" t="s">
        <v>4135</v>
      </c>
    </row>
    <row r="4177" spans="1:2" x14ac:dyDescent="0.3">
      <c r="A4177" s="7" t="str">
        <f>HYPERLINK("http://www.eatonpowersource.com/products/configure/industrial%20valves/details/02-157587","02-157587")</f>
        <v>02-157587</v>
      </c>
      <c r="B4177" s="8" t="s">
        <v>4136</v>
      </c>
    </row>
    <row r="4178" spans="1:2" x14ac:dyDescent="0.3">
      <c r="A4178" s="5" t="str">
        <f>HYPERLINK("http://www.eatonpowersource.com/products/configure/industrial%20valves/details/02-157588","02-157588")</f>
        <v>02-157588</v>
      </c>
      <c r="B4178" s="6" t="s">
        <v>4137</v>
      </c>
    </row>
    <row r="4179" spans="1:2" x14ac:dyDescent="0.3">
      <c r="A4179" s="7" t="str">
        <f>HYPERLINK("http://www.eatonpowersource.com/products/configure/industrial%20valves/details/02-157628","02-157628")</f>
        <v>02-157628</v>
      </c>
      <c r="B4179" s="8" t="s">
        <v>4138</v>
      </c>
    </row>
    <row r="4180" spans="1:2" x14ac:dyDescent="0.3">
      <c r="A4180" s="5" t="str">
        <f>HYPERLINK("http://www.eatonpowersource.com/products/configure/industrial%20valves/details/02-157629","02-157629")</f>
        <v>02-157629</v>
      </c>
      <c r="B4180" s="6" t="s">
        <v>4139</v>
      </c>
    </row>
    <row r="4181" spans="1:2" x14ac:dyDescent="0.3">
      <c r="A4181" s="7" t="str">
        <f>HYPERLINK("http://www.eatonpowersource.com/products/configure/industrial%20valves/details/02-157665","02-157665")</f>
        <v>02-157665</v>
      </c>
      <c r="B4181" s="8" t="s">
        <v>4140</v>
      </c>
    </row>
    <row r="4182" spans="1:2" x14ac:dyDescent="0.3">
      <c r="A4182" s="5" t="str">
        <f>HYPERLINK("http://www.eatonpowersource.com/products/configure/industrial%20valves/details/02-157724","02-157724")</f>
        <v>02-157724</v>
      </c>
      <c r="B4182" s="6" t="s">
        <v>4141</v>
      </c>
    </row>
    <row r="4183" spans="1:2" x14ac:dyDescent="0.3">
      <c r="A4183" s="7" t="str">
        <f>HYPERLINK("http://www.eatonpowersource.com/products/configure/industrial%20valves/details/02-157738","02-157738")</f>
        <v>02-157738</v>
      </c>
      <c r="B4183" s="8" t="s">
        <v>4142</v>
      </c>
    </row>
    <row r="4184" spans="1:2" x14ac:dyDescent="0.3">
      <c r="A4184" s="5" t="str">
        <f>HYPERLINK("http://www.eatonpowersource.com/products/configure/industrial%20valves/details/02-157756","02-157756")</f>
        <v>02-157756</v>
      </c>
      <c r="B4184" s="6" t="s">
        <v>4143</v>
      </c>
    </row>
    <row r="4185" spans="1:2" x14ac:dyDescent="0.3">
      <c r="A4185" s="7" t="str">
        <f>HYPERLINK("http://www.eatonpowersource.com/products/configure/industrial%20valves/details/02-157769","02-157769")</f>
        <v>02-157769</v>
      </c>
      <c r="B4185" s="8" t="s">
        <v>4144</v>
      </c>
    </row>
    <row r="4186" spans="1:2" x14ac:dyDescent="0.3">
      <c r="A4186" s="5" t="str">
        <f>HYPERLINK("http://www.eatonpowersource.com/products/configure/industrial%20valves/details/02-157777","02-157777")</f>
        <v>02-157777</v>
      </c>
      <c r="B4186" s="6" t="s">
        <v>4145</v>
      </c>
    </row>
    <row r="4187" spans="1:2" x14ac:dyDescent="0.3">
      <c r="A4187" s="7" t="str">
        <f>HYPERLINK("http://www.eatonpowersource.com/products/configure/industrial%20valves/details/02-157814","02-157814")</f>
        <v>02-157814</v>
      </c>
      <c r="B4187" s="8" t="s">
        <v>4146</v>
      </c>
    </row>
    <row r="4188" spans="1:2" x14ac:dyDescent="0.3">
      <c r="A4188" s="5" t="str">
        <f>HYPERLINK("http://www.eatonpowersource.com/products/configure/industrial%20valves/details/02-157816","02-157816")</f>
        <v>02-157816</v>
      </c>
      <c r="B4188" s="6" t="s">
        <v>4147</v>
      </c>
    </row>
    <row r="4189" spans="1:2" x14ac:dyDescent="0.3">
      <c r="A4189" s="7" t="str">
        <f>HYPERLINK("http://www.eatonpowersource.com/products/configure/industrial%20valves/details/02-157887","02-157887")</f>
        <v>02-157887</v>
      </c>
      <c r="B4189" s="8" t="s">
        <v>4148</v>
      </c>
    </row>
    <row r="4190" spans="1:2" x14ac:dyDescent="0.3">
      <c r="A4190" s="5" t="str">
        <f>HYPERLINK("http://www.eatonpowersource.com/products/configure/industrial%20valves/details/02-157931","02-157931")</f>
        <v>02-157931</v>
      </c>
      <c r="B4190" s="6" t="s">
        <v>4149</v>
      </c>
    </row>
    <row r="4191" spans="1:2" x14ac:dyDescent="0.3">
      <c r="A4191" s="7" t="str">
        <f>HYPERLINK("http://www.eatonpowersource.com/products/configure/industrial%20valves/details/02-310277","02-310277")</f>
        <v>02-310277</v>
      </c>
      <c r="B4191" s="8" t="s">
        <v>4150</v>
      </c>
    </row>
    <row r="4192" spans="1:2" x14ac:dyDescent="0.3">
      <c r="A4192" s="5" t="str">
        <f>HYPERLINK("http://www.eatonpowersource.com/products/configure/industrial%20valves/details/02-310590","02-310590")</f>
        <v>02-310590</v>
      </c>
      <c r="B4192" s="6" t="s">
        <v>4151</v>
      </c>
    </row>
    <row r="4193" spans="1:2" x14ac:dyDescent="0.3">
      <c r="A4193" s="7" t="str">
        <f>HYPERLINK("http://www.eatonpowersource.com/products/configure/industrial%20valves/details/02-310735","02-310735")</f>
        <v>02-310735</v>
      </c>
      <c r="B4193" s="8" t="s">
        <v>4152</v>
      </c>
    </row>
    <row r="4194" spans="1:2" x14ac:dyDescent="0.3">
      <c r="A4194" s="5" t="str">
        <f>HYPERLINK("http://www.eatonpowersource.com/products/configure/industrial%20valves/details/02-310746","02-310746")</f>
        <v>02-310746</v>
      </c>
      <c r="B4194" s="6" t="s">
        <v>4153</v>
      </c>
    </row>
    <row r="4195" spans="1:2" x14ac:dyDescent="0.3">
      <c r="A4195" s="7" t="str">
        <f>HYPERLINK("http://www.eatonpowersource.com/products/configure/industrial%20valves/details/02-310761","02-310761")</f>
        <v>02-310761</v>
      </c>
      <c r="B4195" s="8" t="s">
        <v>4154</v>
      </c>
    </row>
    <row r="4196" spans="1:2" x14ac:dyDescent="0.3">
      <c r="A4196" s="5" t="str">
        <f>HYPERLINK("http://www.eatonpowersource.com/products/configure/industrial%20valves/details/02-310762","02-310762")</f>
        <v>02-310762</v>
      </c>
      <c r="B4196" s="6" t="s">
        <v>4155</v>
      </c>
    </row>
    <row r="4197" spans="1:2" x14ac:dyDescent="0.3">
      <c r="A4197" s="7" t="str">
        <f>HYPERLINK("http://www.eatonpowersource.com/products/configure/industrial%20valves/details/02-310763","02-310763")</f>
        <v>02-310763</v>
      </c>
      <c r="B4197" s="8" t="s">
        <v>4156</v>
      </c>
    </row>
    <row r="4198" spans="1:2" x14ac:dyDescent="0.3">
      <c r="A4198" s="5" t="str">
        <f>HYPERLINK("http://www.eatonpowersource.com/products/configure/industrial%20valves/details/02-310817","02-310817")</f>
        <v>02-310817</v>
      </c>
      <c r="B4198" s="6" t="s">
        <v>4157</v>
      </c>
    </row>
    <row r="4199" spans="1:2" x14ac:dyDescent="0.3">
      <c r="A4199" s="7" t="str">
        <f>HYPERLINK("http://www.eatonpowersource.com/products/configure/industrial%20valves/details/02-310840","02-310840")</f>
        <v>02-310840</v>
      </c>
      <c r="B4199" s="8" t="s">
        <v>4158</v>
      </c>
    </row>
    <row r="4200" spans="1:2" x14ac:dyDescent="0.3">
      <c r="A4200" s="5" t="str">
        <f>HYPERLINK("http://www.eatonpowersource.com/products/configure/industrial%20valves/details/02-310852","02-310852")</f>
        <v>02-310852</v>
      </c>
      <c r="B4200" s="6" t="s">
        <v>4159</v>
      </c>
    </row>
    <row r="4201" spans="1:2" x14ac:dyDescent="0.3">
      <c r="A4201" s="7" t="str">
        <f>HYPERLINK("http://www.eatonpowersource.com/products/configure/industrial%20valves/details/02-310855","02-310855")</f>
        <v>02-310855</v>
      </c>
      <c r="B4201" s="8" t="s">
        <v>4160</v>
      </c>
    </row>
    <row r="4202" spans="1:2" x14ac:dyDescent="0.3">
      <c r="A4202" s="5" t="str">
        <f>HYPERLINK("http://www.eatonpowersource.com/products/configure/industrial%20valves/details/02-310885","02-310885")</f>
        <v>02-310885</v>
      </c>
      <c r="B4202" s="6" t="s">
        <v>4161</v>
      </c>
    </row>
    <row r="4203" spans="1:2" x14ac:dyDescent="0.3">
      <c r="A4203" s="7" t="str">
        <f>HYPERLINK("http://www.eatonpowersource.com/products/configure/industrial%20valves/details/02-310920","02-310920")</f>
        <v>02-310920</v>
      </c>
      <c r="B4203" s="8" t="s">
        <v>4162</v>
      </c>
    </row>
    <row r="4204" spans="1:2" x14ac:dyDescent="0.3">
      <c r="A4204" s="5" t="str">
        <f>HYPERLINK("http://www.eatonpowersource.com/products/configure/industrial%20valves/details/02-310927","02-310927")</f>
        <v>02-310927</v>
      </c>
      <c r="B4204" s="6" t="s">
        <v>4163</v>
      </c>
    </row>
    <row r="4205" spans="1:2" x14ac:dyDescent="0.3">
      <c r="A4205" s="7" t="str">
        <f>HYPERLINK("http://www.eatonpowersource.com/products/configure/industrial%20valves/details/02-310932","02-310932")</f>
        <v>02-310932</v>
      </c>
      <c r="B4205" s="8" t="s">
        <v>4164</v>
      </c>
    </row>
    <row r="4206" spans="1:2" x14ac:dyDescent="0.3">
      <c r="A4206" s="5" t="str">
        <f>HYPERLINK("http://www.eatonpowersource.com/products/configure/industrial%20valves/details/02-311035","02-311035")</f>
        <v>02-311035</v>
      </c>
      <c r="B4206" s="6" t="s">
        <v>4165</v>
      </c>
    </row>
    <row r="4207" spans="1:2" x14ac:dyDescent="0.3">
      <c r="A4207" s="7" t="str">
        <f>HYPERLINK("http://www.eatonpowersource.com/products/configure/industrial%20valves/details/02-311170","02-311170")</f>
        <v>02-311170</v>
      </c>
      <c r="B4207" s="8" t="s">
        <v>4166</v>
      </c>
    </row>
    <row r="4208" spans="1:2" x14ac:dyDescent="0.3">
      <c r="A4208" s="5" t="str">
        <f>HYPERLINK("http://www.eatonpowersource.com/products/configure/industrial%20valves/details/02-311184","02-311184")</f>
        <v>02-311184</v>
      </c>
      <c r="B4208" s="6" t="s">
        <v>4167</v>
      </c>
    </row>
    <row r="4209" spans="1:2" x14ac:dyDescent="0.3">
      <c r="A4209" s="7" t="str">
        <f>HYPERLINK("http://www.eatonpowersource.com/products/configure/industrial%20valves/details/02-311204","02-311204")</f>
        <v>02-311204</v>
      </c>
      <c r="B4209" s="8" t="s">
        <v>4168</v>
      </c>
    </row>
    <row r="4210" spans="1:2" x14ac:dyDescent="0.3">
      <c r="A4210" s="5" t="str">
        <f>HYPERLINK("http://www.eatonpowersource.com/products/configure/industrial%20valves/details/02-311221","02-311221")</f>
        <v>02-311221</v>
      </c>
      <c r="B4210" s="6" t="s">
        <v>4169</v>
      </c>
    </row>
    <row r="4211" spans="1:2" x14ac:dyDescent="0.3">
      <c r="A4211" s="7" t="str">
        <f>HYPERLINK("http://www.eatonpowersource.com/products/configure/industrial%20valves/details/02-311227","02-311227")</f>
        <v>02-311227</v>
      </c>
      <c r="B4211" s="8" t="s">
        <v>4170</v>
      </c>
    </row>
    <row r="4212" spans="1:2" x14ac:dyDescent="0.3">
      <c r="A4212" s="5" t="str">
        <f>HYPERLINK("http://www.eatonpowersource.com/products/configure/industrial%20valves/details/02-311228","02-311228")</f>
        <v>02-311228</v>
      </c>
      <c r="B4212" s="6" t="s">
        <v>4171</v>
      </c>
    </row>
    <row r="4213" spans="1:2" x14ac:dyDescent="0.3">
      <c r="A4213" s="7" t="str">
        <f>HYPERLINK("http://www.eatonpowersource.com/products/configure/industrial%20valves/details/02-311229","02-311229")</f>
        <v>02-311229</v>
      </c>
      <c r="B4213" s="8" t="s">
        <v>4172</v>
      </c>
    </row>
    <row r="4214" spans="1:2" x14ac:dyDescent="0.3">
      <c r="A4214" s="5" t="str">
        <f>HYPERLINK("http://www.eatonpowersource.com/products/configure/industrial%20valves/details/02-311234","02-311234")</f>
        <v>02-311234</v>
      </c>
      <c r="B4214" s="6" t="s">
        <v>4173</v>
      </c>
    </row>
    <row r="4215" spans="1:2" x14ac:dyDescent="0.3">
      <c r="A4215" s="7" t="str">
        <f>HYPERLINK("http://www.eatonpowersource.com/products/configure/industrial%20valves/details/02-311236","02-311236")</f>
        <v>02-311236</v>
      </c>
      <c r="B4215" s="8" t="s">
        <v>4174</v>
      </c>
    </row>
    <row r="4216" spans="1:2" x14ac:dyDescent="0.3">
      <c r="A4216" s="5" t="str">
        <f>HYPERLINK("http://www.eatonpowersource.com/products/configure/industrial%20valves/details/02-311237","02-311237")</f>
        <v>02-311237</v>
      </c>
      <c r="B4216" s="6" t="s">
        <v>4175</v>
      </c>
    </row>
    <row r="4217" spans="1:2" x14ac:dyDescent="0.3">
      <c r="A4217" s="7" t="str">
        <f>HYPERLINK("http://www.eatonpowersource.com/products/configure/industrial%20valves/details/02-311238","02-311238")</f>
        <v>02-311238</v>
      </c>
      <c r="B4217" s="8" t="s">
        <v>4176</v>
      </c>
    </row>
    <row r="4218" spans="1:2" x14ac:dyDescent="0.3">
      <c r="A4218" s="5" t="str">
        <f>HYPERLINK("http://www.eatonpowersource.com/products/configure/industrial%20valves/details/02-311240","02-311240")</f>
        <v>02-311240</v>
      </c>
      <c r="B4218" s="6" t="s">
        <v>4177</v>
      </c>
    </row>
    <row r="4219" spans="1:2" x14ac:dyDescent="0.3">
      <c r="A4219" s="7" t="str">
        <f>HYPERLINK("http://www.eatonpowersource.com/products/configure/industrial%20valves/details/02-311245","02-311245")</f>
        <v>02-311245</v>
      </c>
      <c r="B4219" s="8" t="s">
        <v>4178</v>
      </c>
    </row>
    <row r="4220" spans="1:2" x14ac:dyDescent="0.3">
      <c r="A4220" s="5" t="str">
        <f>HYPERLINK("http://www.eatonpowersource.com/products/configure/industrial%20valves/details/02-311296","02-311296")</f>
        <v>02-311296</v>
      </c>
      <c r="B4220" s="6" t="s">
        <v>4179</v>
      </c>
    </row>
    <row r="4221" spans="1:2" x14ac:dyDescent="0.3">
      <c r="A4221" s="7" t="str">
        <f>HYPERLINK("http://www.eatonpowersource.com/products/configure/industrial%20valves/details/02-311347","02-311347")</f>
        <v>02-311347</v>
      </c>
      <c r="B4221" s="8" t="s">
        <v>4180</v>
      </c>
    </row>
    <row r="4222" spans="1:2" x14ac:dyDescent="0.3">
      <c r="A4222" s="5" t="str">
        <f>HYPERLINK("http://www.eatonpowersource.com/products/configure/industrial%20valves/details/02-311477","02-311477")</f>
        <v>02-311477</v>
      </c>
      <c r="B4222" s="6" t="s">
        <v>4181</v>
      </c>
    </row>
    <row r="4223" spans="1:2" x14ac:dyDescent="0.3">
      <c r="A4223" s="7" t="str">
        <f>HYPERLINK("http://www.eatonpowersource.com/products/configure/industrial%20valves/details/02-311484","02-311484")</f>
        <v>02-311484</v>
      </c>
      <c r="B4223" s="8" t="s">
        <v>4182</v>
      </c>
    </row>
    <row r="4224" spans="1:2" x14ac:dyDescent="0.3">
      <c r="A4224" s="5" t="str">
        <f>HYPERLINK("http://www.eatonpowersource.com/products/configure/industrial%20valves/details/02-311540","02-311540")</f>
        <v>02-311540</v>
      </c>
      <c r="B4224" s="6" t="s">
        <v>4183</v>
      </c>
    </row>
    <row r="4225" spans="1:2" x14ac:dyDescent="0.3">
      <c r="A4225" s="7" t="str">
        <f>HYPERLINK("http://www.eatonpowersource.com/products/configure/industrial%20valves/details/02-311550","02-311550")</f>
        <v>02-311550</v>
      </c>
      <c r="B4225" s="8" t="s">
        <v>4184</v>
      </c>
    </row>
    <row r="4226" spans="1:2" x14ac:dyDescent="0.3">
      <c r="A4226" s="5" t="str">
        <f>HYPERLINK("http://www.eatonpowersource.com/products/configure/industrial%20valves/details/02-311616","02-311616")</f>
        <v>02-311616</v>
      </c>
      <c r="B4226" s="6" t="s">
        <v>4185</v>
      </c>
    </row>
    <row r="4227" spans="1:2" x14ac:dyDescent="0.3">
      <c r="A4227" s="7" t="str">
        <f>HYPERLINK("http://www.eatonpowersource.com/products/configure/industrial%20valves/details/02-311679","02-311679")</f>
        <v>02-311679</v>
      </c>
      <c r="B4227" s="8" t="s">
        <v>4186</v>
      </c>
    </row>
    <row r="4228" spans="1:2" x14ac:dyDescent="0.3">
      <c r="A4228" s="5" t="str">
        <f>HYPERLINK("http://www.eatonpowersource.com/products/configure/industrial%20valves/details/02-311696","02-311696")</f>
        <v>02-311696</v>
      </c>
      <c r="B4228" s="6" t="s">
        <v>4187</v>
      </c>
    </row>
    <row r="4229" spans="1:2" x14ac:dyDescent="0.3">
      <c r="A4229" s="7" t="str">
        <f>HYPERLINK("http://www.eatonpowersource.com/products/configure/industrial%20valves/details/02-311741","02-311741")</f>
        <v>02-311741</v>
      </c>
      <c r="B4229" s="8" t="s">
        <v>4188</v>
      </c>
    </row>
    <row r="4230" spans="1:2" x14ac:dyDescent="0.3">
      <c r="A4230" s="5" t="str">
        <f>HYPERLINK("http://www.eatonpowersource.com/products/configure/industrial%20valves/details/02-311796","02-311796")</f>
        <v>02-311796</v>
      </c>
      <c r="B4230" s="6" t="s">
        <v>4189</v>
      </c>
    </row>
    <row r="4231" spans="1:2" x14ac:dyDescent="0.3">
      <c r="A4231" s="7" t="str">
        <f>HYPERLINK("http://www.eatonpowersource.com/products/configure/industrial%20valves/details/02-311813","02-311813")</f>
        <v>02-311813</v>
      </c>
      <c r="B4231" s="8" t="s">
        <v>4190</v>
      </c>
    </row>
    <row r="4232" spans="1:2" x14ac:dyDescent="0.3">
      <c r="A4232" s="5" t="str">
        <f>HYPERLINK("http://www.eatonpowersource.com/products/configure/industrial%20valves/details/02-311817","02-311817")</f>
        <v>02-311817</v>
      </c>
      <c r="B4232" s="6" t="s">
        <v>4191</v>
      </c>
    </row>
    <row r="4233" spans="1:2" x14ac:dyDescent="0.3">
      <c r="A4233" s="7" t="str">
        <f>HYPERLINK("http://www.eatonpowersource.com/products/configure/industrial%20valves/details/02-311924","02-311924")</f>
        <v>02-311924</v>
      </c>
      <c r="B4233" s="8" t="s">
        <v>4192</v>
      </c>
    </row>
    <row r="4234" spans="1:2" x14ac:dyDescent="0.3">
      <c r="A4234" s="5" t="str">
        <f>HYPERLINK("http://www.eatonpowersource.com/products/configure/industrial%20valves/details/02-311985","02-311985")</f>
        <v>02-311985</v>
      </c>
      <c r="B4234" s="6" t="s">
        <v>4193</v>
      </c>
    </row>
    <row r="4235" spans="1:2" x14ac:dyDescent="0.3">
      <c r="A4235" s="7" t="str">
        <f>HYPERLINK("http://www.eatonpowersource.com/products/configure/industrial%20valves/details/02-311992","02-311992")</f>
        <v>02-311992</v>
      </c>
      <c r="B4235" s="8" t="s">
        <v>4194</v>
      </c>
    </row>
    <row r="4236" spans="1:2" x14ac:dyDescent="0.3">
      <c r="A4236" s="5" t="str">
        <f>HYPERLINK("http://www.eatonpowersource.com/products/configure/industrial%20valves/details/02-311994","02-311994")</f>
        <v>02-311994</v>
      </c>
      <c r="B4236" s="6" t="s">
        <v>4195</v>
      </c>
    </row>
    <row r="4237" spans="1:2" x14ac:dyDescent="0.3">
      <c r="A4237" s="7" t="str">
        <f>HYPERLINK("http://www.eatonpowersource.com/products/configure/industrial%20valves/details/02-312019","02-312019")</f>
        <v>02-312019</v>
      </c>
      <c r="B4237" s="8" t="s">
        <v>4196</v>
      </c>
    </row>
    <row r="4238" spans="1:2" x14ac:dyDescent="0.3">
      <c r="A4238" s="5" t="str">
        <f>HYPERLINK("http://www.eatonpowersource.com/products/configure/industrial%20valves/details/02-312025","02-312025")</f>
        <v>02-312025</v>
      </c>
      <c r="B4238" s="6" t="s">
        <v>4197</v>
      </c>
    </row>
    <row r="4239" spans="1:2" x14ac:dyDescent="0.3">
      <c r="A4239" s="7" t="str">
        <f>HYPERLINK("http://www.eatonpowersource.com/products/configure/industrial%20valves/details/02-312033","02-312033")</f>
        <v>02-312033</v>
      </c>
      <c r="B4239" s="8" t="s">
        <v>4198</v>
      </c>
    </row>
    <row r="4240" spans="1:2" x14ac:dyDescent="0.3">
      <c r="A4240" s="5" t="str">
        <f>HYPERLINK("http://www.eatonpowersource.com/products/configure/industrial%20valves/details/02-312186","02-312186")</f>
        <v>02-312186</v>
      </c>
      <c r="B4240" s="6" t="s">
        <v>4199</v>
      </c>
    </row>
    <row r="4241" spans="1:2" x14ac:dyDescent="0.3">
      <c r="A4241" s="7" t="str">
        <f>HYPERLINK("http://www.eatonpowersource.com/products/configure/industrial%20valves/details/02-312306","02-312306")</f>
        <v>02-312306</v>
      </c>
      <c r="B4241" s="8" t="s">
        <v>4200</v>
      </c>
    </row>
    <row r="4242" spans="1:2" x14ac:dyDescent="0.3">
      <c r="A4242" s="5" t="str">
        <f>HYPERLINK("http://www.eatonpowersource.com/products/configure/industrial%20valves/details/02-312331","02-312331")</f>
        <v>02-312331</v>
      </c>
      <c r="B4242" s="6" t="s">
        <v>4201</v>
      </c>
    </row>
    <row r="4243" spans="1:2" x14ac:dyDescent="0.3">
      <c r="A4243" s="7" t="str">
        <f>HYPERLINK("http://www.eatonpowersource.com/products/configure/industrial%20valves/details/02-312404","02-312404")</f>
        <v>02-312404</v>
      </c>
      <c r="B4243" s="8" t="s">
        <v>4202</v>
      </c>
    </row>
    <row r="4244" spans="1:2" x14ac:dyDescent="0.3">
      <c r="A4244" s="5" t="str">
        <f>HYPERLINK("http://www.eatonpowersource.com/products/configure/industrial%20valves/details/02-312433","02-312433")</f>
        <v>02-312433</v>
      </c>
      <c r="B4244" s="6" t="s">
        <v>4203</v>
      </c>
    </row>
    <row r="4245" spans="1:2" x14ac:dyDescent="0.3">
      <c r="A4245" s="7" t="str">
        <f>HYPERLINK("http://www.eatonpowersource.com/products/configure/industrial%20valves/details/02-317856","02-317856")</f>
        <v>02-317856</v>
      </c>
      <c r="B4245" s="8" t="s">
        <v>4204</v>
      </c>
    </row>
    <row r="4246" spans="1:2" x14ac:dyDescent="0.3">
      <c r="A4246" s="5" t="str">
        <f>HYPERLINK("http://www.eatonpowersource.com/products/configure/industrial%20valves/details/02-318195","02-318195")</f>
        <v>02-318195</v>
      </c>
      <c r="B4246" s="6" t="s">
        <v>4205</v>
      </c>
    </row>
    <row r="4247" spans="1:2" x14ac:dyDescent="0.3">
      <c r="A4247" s="7" t="str">
        <f>HYPERLINK("http://www.eatonpowersource.com/products/configure/industrial%20valves/details/02-318206","02-318206")</f>
        <v>02-318206</v>
      </c>
      <c r="B4247" s="8" t="s">
        <v>4206</v>
      </c>
    </row>
    <row r="4248" spans="1:2" x14ac:dyDescent="0.3">
      <c r="A4248" s="5" t="str">
        <f>HYPERLINK("http://www.eatonpowersource.com/products/configure/industrial%20valves/details/02-318228","02-318228")</f>
        <v>02-318228</v>
      </c>
      <c r="B4248" s="6" t="s">
        <v>4207</v>
      </c>
    </row>
    <row r="4249" spans="1:2" x14ac:dyDescent="0.3">
      <c r="A4249" s="7" t="str">
        <f>HYPERLINK("http://www.eatonpowersource.com/products/configure/industrial%20valves/details/02-318242","02-318242")</f>
        <v>02-318242</v>
      </c>
      <c r="B4249" s="8" t="s">
        <v>4208</v>
      </c>
    </row>
    <row r="4250" spans="1:2" x14ac:dyDescent="0.3">
      <c r="A4250" s="5" t="str">
        <f>HYPERLINK("http://www.eatonpowersource.com/products/configure/industrial%20valves/details/02-318243","02-318243")</f>
        <v>02-318243</v>
      </c>
      <c r="B4250" s="6" t="s">
        <v>4209</v>
      </c>
    </row>
    <row r="4251" spans="1:2" x14ac:dyDescent="0.3">
      <c r="A4251" s="7" t="str">
        <f>HYPERLINK("http://www.eatonpowersource.com/products/configure/industrial%20valves/details/02-318305","02-318305")</f>
        <v>02-318305</v>
      </c>
      <c r="B4251" s="8" t="s">
        <v>4210</v>
      </c>
    </row>
    <row r="4252" spans="1:2" x14ac:dyDescent="0.3">
      <c r="A4252" s="5" t="str">
        <f>HYPERLINK("http://www.eatonpowersource.com/products/configure/industrial%20valves/details/02-318307","02-318307")</f>
        <v>02-318307</v>
      </c>
      <c r="B4252" s="6" t="s">
        <v>4211</v>
      </c>
    </row>
    <row r="4253" spans="1:2" x14ac:dyDescent="0.3">
      <c r="A4253" s="7" t="str">
        <f>HYPERLINK("http://www.eatonpowersource.com/products/configure/industrial%20valves/details/02-318320","02-318320")</f>
        <v>02-318320</v>
      </c>
      <c r="B4253" s="8" t="s">
        <v>4212</v>
      </c>
    </row>
    <row r="4254" spans="1:2" x14ac:dyDescent="0.3">
      <c r="A4254" s="5" t="str">
        <f>HYPERLINK("http://www.eatonpowersource.com/products/configure/industrial%20valves/details/02-318364","02-318364")</f>
        <v>02-318364</v>
      </c>
      <c r="B4254" s="6" t="s">
        <v>4213</v>
      </c>
    </row>
    <row r="4255" spans="1:2" x14ac:dyDescent="0.3">
      <c r="A4255" s="7" t="str">
        <f>HYPERLINK("http://www.eatonpowersource.com/products/configure/industrial%20valves/details/02-318375","02-318375")</f>
        <v>02-318375</v>
      </c>
      <c r="B4255" s="8" t="s">
        <v>4214</v>
      </c>
    </row>
    <row r="4256" spans="1:2" x14ac:dyDescent="0.3">
      <c r="A4256" s="5" t="str">
        <f>HYPERLINK("http://www.eatonpowersource.com/products/configure/industrial%20valves/details/02-318376","02-318376")</f>
        <v>02-318376</v>
      </c>
      <c r="B4256" s="6" t="s">
        <v>4215</v>
      </c>
    </row>
    <row r="4257" spans="1:2" x14ac:dyDescent="0.3">
      <c r="A4257" s="7" t="str">
        <f>HYPERLINK("http://www.eatonpowersource.com/products/configure/industrial%20valves/details/02-318377","02-318377")</f>
        <v>02-318377</v>
      </c>
      <c r="B4257" s="8" t="s">
        <v>4216</v>
      </c>
    </row>
    <row r="4258" spans="1:2" x14ac:dyDescent="0.3">
      <c r="A4258" s="5" t="str">
        <f>HYPERLINK("http://www.eatonpowersource.com/products/configure/industrial%20valves/details/02-318382","02-318382")</f>
        <v>02-318382</v>
      </c>
      <c r="B4258" s="6" t="s">
        <v>4217</v>
      </c>
    </row>
    <row r="4259" spans="1:2" x14ac:dyDescent="0.3">
      <c r="A4259" s="7" t="str">
        <f>HYPERLINK("http://www.eatonpowersource.com/products/configure/industrial%20valves/details/02-318383","02-318383")</f>
        <v>02-318383</v>
      </c>
      <c r="B4259" s="8" t="s">
        <v>4218</v>
      </c>
    </row>
    <row r="4260" spans="1:2" x14ac:dyDescent="0.3">
      <c r="A4260" s="5" t="str">
        <f>HYPERLINK("http://www.eatonpowersource.com/products/configure/industrial%20valves/details/02-318387","02-318387")</f>
        <v>02-318387</v>
      </c>
      <c r="B4260" s="6" t="s">
        <v>4219</v>
      </c>
    </row>
    <row r="4261" spans="1:2" x14ac:dyDescent="0.3">
      <c r="A4261" s="7" t="str">
        <f>HYPERLINK("http://www.eatonpowersource.com/products/configure/industrial%20valves/details/02-318522","02-318522")</f>
        <v>02-318522</v>
      </c>
      <c r="B4261" s="8" t="s">
        <v>4220</v>
      </c>
    </row>
    <row r="4262" spans="1:2" x14ac:dyDescent="0.3">
      <c r="A4262" s="5" t="str">
        <f>HYPERLINK("http://www.eatonpowersource.com/products/configure/industrial%20valves/details/02-318525","02-318525")</f>
        <v>02-318525</v>
      </c>
      <c r="B4262" s="6" t="s">
        <v>4221</v>
      </c>
    </row>
    <row r="4263" spans="1:2" x14ac:dyDescent="0.3">
      <c r="A4263" s="7" t="str">
        <f>HYPERLINK("http://www.eatonpowersource.com/products/configure/industrial%20valves/details/02-318526","02-318526")</f>
        <v>02-318526</v>
      </c>
      <c r="B4263" s="8" t="s">
        <v>4222</v>
      </c>
    </row>
    <row r="4264" spans="1:2" x14ac:dyDescent="0.3">
      <c r="A4264" s="5" t="str">
        <f>HYPERLINK("http://www.eatonpowersource.com/products/configure/industrial%20valves/details/02-319183","02-319183")</f>
        <v>02-319183</v>
      </c>
      <c r="B4264" s="6" t="s">
        <v>4223</v>
      </c>
    </row>
    <row r="4265" spans="1:2" x14ac:dyDescent="0.3">
      <c r="A4265" s="7" t="str">
        <f>HYPERLINK("http://www.eatonpowersource.com/products/configure/industrial%20valves/details/02-319200","02-319200")</f>
        <v>02-319200</v>
      </c>
      <c r="B4265" s="8" t="s">
        <v>4224</v>
      </c>
    </row>
    <row r="4266" spans="1:2" x14ac:dyDescent="0.3">
      <c r="A4266" s="5" t="str">
        <f>HYPERLINK("http://www.eatonpowersource.com/products/configure/industrial%20valves/details/02-319215","02-319215")</f>
        <v>02-319215</v>
      </c>
      <c r="B4266" s="6" t="s">
        <v>4225</v>
      </c>
    </row>
    <row r="4267" spans="1:2" x14ac:dyDescent="0.3">
      <c r="A4267" s="7" t="str">
        <f>HYPERLINK("http://www.eatonpowersource.com/products/configure/industrial%20valves/details/02-319216","02-319216")</f>
        <v>02-319216</v>
      </c>
      <c r="B4267" s="8" t="s">
        <v>4226</v>
      </c>
    </row>
    <row r="4268" spans="1:2" x14ac:dyDescent="0.3">
      <c r="A4268" s="5" t="str">
        <f>HYPERLINK("http://www.eatonpowersource.com/products/configure/industrial%20valves/details/02-319257","02-319257")</f>
        <v>02-319257</v>
      </c>
      <c r="B4268" s="6" t="s">
        <v>4227</v>
      </c>
    </row>
    <row r="4269" spans="1:2" x14ac:dyDescent="0.3">
      <c r="A4269" s="7" t="str">
        <f>HYPERLINK("http://www.eatonpowersource.com/products/configure/industrial%20valves/details/02-319258","02-319258")</f>
        <v>02-319258</v>
      </c>
      <c r="B4269" s="8" t="s">
        <v>4228</v>
      </c>
    </row>
    <row r="4270" spans="1:2" x14ac:dyDescent="0.3">
      <c r="A4270" s="5" t="str">
        <f>HYPERLINK("http://www.eatonpowersource.com/products/configure/industrial%20valves/details/02-319269","02-319269")</f>
        <v>02-319269</v>
      </c>
      <c r="B4270" s="6" t="s">
        <v>4229</v>
      </c>
    </row>
    <row r="4271" spans="1:2" x14ac:dyDescent="0.3">
      <c r="A4271" s="7" t="str">
        <f>HYPERLINK("http://www.eatonpowersource.com/products/configure/industrial%20valves/details/02-319371","02-319371")</f>
        <v>02-319371</v>
      </c>
      <c r="B4271" s="8" t="s">
        <v>4230</v>
      </c>
    </row>
    <row r="4272" spans="1:2" x14ac:dyDescent="0.3">
      <c r="A4272" s="5" t="str">
        <f>HYPERLINK("http://www.eatonpowersource.com/products/configure/industrial%20valves/details/02-319434","02-319434")</f>
        <v>02-319434</v>
      </c>
      <c r="B4272" s="6" t="s">
        <v>4231</v>
      </c>
    </row>
    <row r="4273" spans="1:2" x14ac:dyDescent="0.3">
      <c r="A4273" s="7" t="str">
        <f>HYPERLINK("http://www.eatonpowersource.com/products/configure/industrial%20valves/details/02-319474","02-319474")</f>
        <v>02-319474</v>
      </c>
      <c r="B4273" s="8" t="s">
        <v>4232</v>
      </c>
    </row>
    <row r="4274" spans="1:2" x14ac:dyDescent="0.3">
      <c r="A4274" s="5" t="str">
        <f>HYPERLINK("http://www.eatonpowersource.com/products/configure/industrial%20valves/details/02-319545","02-319545")</f>
        <v>02-319545</v>
      </c>
      <c r="B4274" s="6" t="s">
        <v>4233</v>
      </c>
    </row>
    <row r="4275" spans="1:2" x14ac:dyDescent="0.3">
      <c r="A4275" s="7" t="str">
        <f>HYPERLINK("http://www.eatonpowersource.com/products/configure/industrial%20valves/details/02-323013","02-323013")</f>
        <v>02-323013</v>
      </c>
      <c r="B4275" s="8" t="s">
        <v>4234</v>
      </c>
    </row>
    <row r="4276" spans="1:2" x14ac:dyDescent="0.3">
      <c r="A4276" s="5" t="str">
        <f>HYPERLINK("http://www.eatonpowersource.com/products/configure/industrial%20valves/details/02-323047","02-323047")</f>
        <v>02-323047</v>
      </c>
      <c r="B4276" s="6" t="s">
        <v>4235</v>
      </c>
    </row>
    <row r="4277" spans="1:2" x14ac:dyDescent="0.3">
      <c r="A4277" s="7" t="str">
        <f>HYPERLINK("http://www.eatonpowersource.com/products/configure/industrial%20valves/details/02-323051","02-323051")</f>
        <v>02-323051</v>
      </c>
      <c r="B4277" s="8" t="s">
        <v>4236</v>
      </c>
    </row>
    <row r="4278" spans="1:2" x14ac:dyDescent="0.3">
      <c r="A4278" s="5" t="str">
        <f>HYPERLINK("http://www.eatonpowersource.com/products/configure/industrial%20valves/details/02-323141","02-323141")</f>
        <v>02-323141</v>
      </c>
      <c r="B4278" s="6" t="s">
        <v>4237</v>
      </c>
    </row>
    <row r="4279" spans="1:2" x14ac:dyDescent="0.3">
      <c r="A4279" s="7" t="str">
        <f>HYPERLINK("http://www.eatonpowersource.com/products/configure/industrial%20valves/details/02-323159","02-323159")</f>
        <v>02-323159</v>
      </c>
      <c r="B4279" s="8" t="s">
        <v>4238</v>
      </c>
    </row>
    <row r="4280" spans="1:2" x14ac:dyDescent="0.3">
      <c r="A4280" s="5" t="str">
        <f>HYPERLINK("http://www.eatonpowersource.com/products/configure/industrial%20valves/details/02-323194","02-323194")</f>
        <v>02-323194</v>
      </c>
      <c r="B4280" s="6" t="s">
        <v>4239</v>
      </c>
    </row>
    <row r="4281" spans="1:2" x14ac:dyDescent="0.3">
      <c r="A4281" s="7" t="str">
        <f>HYPERLINK("http://www.eatonpowersource.com/products/configure/industrial%20valves/details/02-323203","02-323203")</f>
        <v>02-323203</v>
      </c>
      <c r="B4281" s="8" t="s">
        <v>4240</v>
      </c>
    </row>
    <row r="4282" spans="1:2" x14ac:dyDescent="0.3">
      <c r="A4282" s="5" t="str">
        <f>HYPERLINK("http://www.eatonpowersource.com/products/configure/industrial%20valves/details/02-323217","02-323217")</f>
        <v>02-323217</v>
      </c>
      <c r="B4282" s="6" t="s">
        <v>4241</v>
      </c>
    </row>
    <row r="4283" spans="1:2" x14ac:dyDescent="0.3">
      <c r="A4283" s="7" t="str">
        <f>HYPERLINK("http://www.eatonpowersource.com/products/configure/industrial%20valves/details/02-323325","02-323325")</f>
        <v>02-323325</v>
      </c>
      <c r="B4283" s="8" t="s">
        <v>4242</v>
      </c>
    </row>
    <row r="4284" spans="1:2" x14ac:dyDescent="0.3">
      <c r="A4284" s="5" t="str">
        <f>HYPERLINK("http://www.eatonpowersource.com/products/configure/industrial%20valves/details/02-323371","02-323371")</f>
        <v>02-323371</v>
      </c>
      <c r="B4284" s="6" t="s">
        <v>4243</v>
      </c>
    </row>
    <row r="4285" spans="1:2" x14ac:dyDescent="0.3">
      <c r="A4285" s="7" t="str">
        <f>HYPERLINK("http://www.eatonpowersource.com/products/configure/industrial%20valves/details/02-323503","02-323503")</f>
        <v>02-323503</v>
      </c>
      <c r="B4285" s="8" t="s">
        <v>4244</v>
      </c>
    </row>
    <row r="4286" spans="1:2" x14ac:dyDescent="0.3">
      <c r="A4286" s="5" t="str">
        <f>HYPERLINK("http://www.eatonpowersource.com/products/configure/industrial%20valves/details/02-323534","02-323534")</f>
        <v>02-323534</v>
      </c>
      <c r="B4286" s="6" t="s">
        <v>4245</v>
      </c>
    </row>
    <row r="4287" spans="1:2" x14ac:dyDescent="0.3">
      <c r="A4287" s="7" t="str">
        <f>HYPERLINK("http://www.eatonpowersource.com/products/configure/industrial%20valves/details/02-323538","02-323538")</f>
        <v>02-323538</v>
      </c>
      <c r="B4287" s="8" t="s">
        <v>4246</v>
      </c>
    </row>
    <row r="4288" spans="1:2" x14ac:dyDescent="0.3">
      <c r="A4288" s="5" t="str">
        <f>HYPERLINK("http://www.eatonpowersource.com/products/configure/industrial%20valves/details/02-323577","02-323577")</f>
        <v>02-323577</v>
      </c>
      <c r="B4288" s="6" t="s">
        <v>4247</v>
      </c>
    </row>
    <row r="4289" spans="1:2" x14ac:dyDescent="0.3">
      <c r="A4289" s="7" t="str">
        <f>HYPERLINK("http://www.eatonpowersource.com/products/configure/industrial%20valves/details/02-323667","02-323667")</f>
        <v>02-323667</v>
      </c>
      <c r="B4289" s="8" t="s">
        <v>4248</v>
      </c>
    </row>
    <row r="4290" spans="1:2" x14ac:dyDescent="0.3">
      <c r="A4290" s="5" t="str">
        <f>HYPERLINK("http://www.eatonpowersource.com/products/configure/industrial%20valves/details/02-323786","02-323786")</f>
        <v>02-323786</v>
      </c>
      <c r="B4290" s="6" t="s">
        <v>4249</v>
      </c>
    </row>
    <row r="4291" spans="1:2" x14ac:dyDescent="0.3">
      <c r="A4291" s="7" t="str">
        <f>HYPERLINK("http://www.eatonpowersource.com/products/configure/industrial%20valves/details/02-323797","02-323797")</f>
        <v>02-323797</v>
      </c>
      <c r="B4291" s="8" t="s">
        <v>4250</v>
      </c>
    </row>
    <row r="4292" spans="1:2" x14ac:dyDescent="0.3">
      <c r="A4292" s="5" t="str">
        <f>HYPERLINK("http://www.eatonpowersource.com/products/configure/industrial%20valves/details/02-323828","02-323828")</f>
        <v>02-323828</v>
      </c>
      <c r="B4292" s="6" t="s">
        <v>4251</v>
      </c>
    </row>
    <row r="4293" spans="1:2" x14ac:dyDescent="0.3">
      <c r="A4293" s="7" t="str">
        <f>HYPERLINK("http://www.eatonpowersource.com/products/configure/industrial%20valves/details/02-323833","02-323833")</f>
        <v>02-323833</v>
      </c>
      <c r="B4293" s="8" t="s">
        <v>4252</v>
      </c>
    </row>
    <row r="4294" spans="1:2" x14ac:dyDescent="0.3">
      <c r="A4294" s="5" t="str">
        <f>HYPERLINK("http://www.eatonpowersource.com/products/configure/industrial%20valves/details/02-323887","02-323887")</f>
        <v>02-323887</v>
      </c>
      <c r="B4294" s="6" t="s">
        <v>4253</v>
      </c>
    </row>
    <row r="4295" spans="1:2" x14ac:dyDescent="0.3">
      <c r="A4295" s="7" t="str">
        <f>HYPERLINK("http://www.eatonpowersource.com/products/configure/industrial%20valves/details/02-323892","02-323892")</f>
        <v>02-323892</v>
      </c>
      <c r="B4295" s="8" t="s">
        <v>4254</v>
      </c>
    </row>
    <row r="4296" spans="1:2" x14ac:dyDescent="0.3">
      <c r="A4296" s="5" t="str">
        <f>HYPERLINK("http://www.eatonpowersource.com/products/configure/industrial%20valves/details/02-332013","02-332013")</f>
        <v>02-332013</v>
      </c>
      <c r="B4296" s="6" t="s">
        <v>4255</v>
      </c>
    </row>
    <row r="4297" spans="1:2" x14ac:dyDescent="0.3">
      <c r="A4297" s="7" t="str">
        <f>HYPERLINK("http://www.eatonpowersource.com/products/configure/industrial%20valves/details/02-332014","02-332014")</f>
        <v>02-332014</v>
      </c>
      <c r="B4297" s="8" t="s">
        <v>4256</v>
      </c>
    </row>
    <row r="4298" spans="1:2" x14ac:dyDescent="0.3">
      <c r="A4298" s="5" t="str">
        <f>HYPERLINK("http://www.eatonpowersource.com/products/configure/industrial%20valves/details/02-332084","02-332084")</f>
        <v>02-332084</v>
      </c>
      <c r="B4298" s="6" t="s">
        <v>4257</v>
      </c>
    </row>
    <row r="4299" spans="1:2" x14ac:dyDescent="0.3">
      <c r="A4299" s="7" t="str">
        <f>HYPERLINK("http://www.eatonpowersource.com/products/configure/industrial%20valves/details/02-332098","02-332098")</f>
        <v>02-332098</v>
      </c>
      <c r="B4299" s="8" t="s">
        <v>4258</v>
      </c>
    </row>
    <row r="4300" spans="1:2" x14ac:dyDescent="0.3">
      <c r="A4300" s="5" t="str">
        <f>HYPERLINK("http://www.eatonpowersource.com/products/configure/industrial%20valves/details/02-332111","02-332111")</f>
        <v>02-332111</v>
      </c>
      <c r="B4300" s="6" t="s">
        <v>4259</v>
      </c>
    </row>
    <row r="4301" spans="1:2" x14ac:dyDescent="0.3">
      <c r="A4301" s="7" t="str">
        <f>HYPERLINK("http://www.eatonpowersource.com/products/configure/industrial%20valves/details/02-332127","02-332127")</f>
        <v>02-332127</v>
      </c>
      <c r="B4301" s="8" t="s">
        <v>4260</v>
      </c>
    </row>
    <row r="4302" spans="1:2" x14ac:dyDescent="0.3">
      <c r="A4302" s="5" t="str">
        <f>HYPERLINK("http://www.eatonpowersource.com/products/configure/industrial%20valves/details/02-332128","02-332128")</f>
        <v>02-332128</v>
      </c>
      <c r="B4302" s="6" t="s">
        <v>4261</v>
      </c>
    </row>
    <row r="4303" spans="1:2" x14ac:dyDescent="0.3">
      <c r="A4303" s="7" t="str">
        <f>HYPERLINK("http://www.eatonpowersource.com/products/configure/industrial%20valves/details/02-332287","02-332287")</f>
        <v>02-332287</v>
      </c>
      <c r="B4303" s="8" t="s">
        <v>4262</v>
      </c>
    </row>
    <row r="4304" spans="1:2" x14ac:dyDescent="0.3">
      <c r="A4304" s="5" t="str">
        <f>HYPERLINK("http://www.eatonpowersource.com/products/configure/industrial%20valves/details/02-332297","02-332297")</f>
        <v>02-332297</v>
      </c>
      <c r="B4304" s="6" t="s">
        <v>4263</v>
      </c>
    </row>
    <row r="4305" spans="1:2" x14ac:dyDescent="0.3">
      <c r="A4305" s="7" t="str">
        <f>HYPERLINK("http://www.eatonpowersource.com/products/configure/industrial%20valves/details/02-332368","02-332368")</f>
        <v>02-332368</v>
      </c>
      <c r="B4305" s="8" t="s">
        <v>4264</v>
      </c>
    </row>
    <row r="4306" spans="1:2" x14ac:dyDescent="0.3">
      <c r="A4306" s="5" t="str">
        <f>HYPERLINK("http://www.eatonpowersource.com/products/configure/industrial%20valves/details/02-332454","02-332454")</f>
        <v>02-332454</v>
      </c>
      <c r="B4306" s="6" t="s">
        <v>4265</v>
      </c>
    </row>
    <row r="4307" spans="1:2" x14ac:dyDescent="0.3">
      <c r="A4307" s="7" t="str">
        <f>HYPERLINK("http://www.eatonpowersource.com/products/configure/industrial%20valves/details/02-332469","02-332469")</f>
        <v>02-332469</v>
      </c>
      <c r="B4307" s="8" t="s">
        <v>4266</v>
      </c>
    </row>
    <row r="4308" spans="1:2" x14ac:dyDescent="0.3">
      <c r="A4308" s="5" t="str">
        <f>HYPERLINK("http://www.eatonpowersource.com/products/configure/industrial%20valves/details/02-332675","02-332675")</f>
        <v>02-332675</v>
      </c>
      <c r="B4308" s="6" t="s">
        <v>4267</v>
      </c>
    </row>
    <row r="4309" spans="1:2" x14ac:dyDescent="0.3">
      <c r="A4309" s="7" t="str">
        <f>HYPERLINK("http://www.eatonpowersource.com/products/configure/industrial%20valves/details/02-332678","02-332678")</f>
        <v>02-332678</v>
      </c>
      <c r="B4309" s="8" t="s">
        <v>4268</v>
      </c>
    </row>
    <row r="4310" spans="1:2" x14ac:dyDescent="0.3">
      <c r="A4310" s="5" t="str">
        <f>HYPERLINK("http://www.eatonpowersource.com/products/configure/industrial%20valves/details/02-332758","02-332758")</f>
        <v>02-332758</v>
      </c>
      <c r="B4310" s="6" t="s">
        <v>4269</v>
      </c>
    </row>
    <row r="4311" spans="1:2" x14ac:dyDescent="0.3">
      <c r="A4311" s="7" t="str">
        <f>HYPERLINK("http://www.eatonpowersource.com/products/configure/industrial%20valves/details/02-332767","02-332767")</f>
        <v>02-332767</v>
      </c>
      <c r="B4311" s="8" t="s">
        <v>4270</v>
      </c>
    </row>
    <row r="4312" spans="1:2" x14ac:dyDescent="0.3">
      <c r="A4312" s="5" t="str">
        <f>HYPERLINK("http://www.eatonpowersource.com/products/configure/industrial%20valves/details/02-332861","02-332861")</f>
        <v>02-332861</v>
      </c>
      <c r="B4312" s="6" t="s">
        <v>4271</v>
      </c>
    </row>
    <row r="4313" spans="1:2" x14ac:dyDescent="0.3">
      <c r="A4313" s="7" t="str">
        <f>HYPERLINK("http://www.eatonpowersource.com/products/configure/industrial%20valves/details/02-332985","02-332985")</f>
        <v>02-332985</v>
      </c>
      <c r="B4313" s="8" t="s">
        <v>4272</v>
      </c>
    </row>
    <row r="4314" spans="1:2" x14ac:dyDescent="0.3">
      <c r="A4314" s="5" t="str">
        <f>HYPERLINK("http://www.eatonpowersource.com/products/configure/industrial%20valves/details/02-333190","02-333190")</f>
        <v>02-333190</v>
      </c>
      <c r="B4314" s="6" t="s">
        <v>4273</v>
      </c>
    </row>
    <row r="4315" spans="1:2" x14ac:dyDescent="0.3">
      <c r="A4315" s="7" t="str">
        <f>HYPERLINK("http://www.eatonpowersource.com/products/configure/industrial%20valves/details/02-333302","02-333302")</f>
        <v>02-333302</v>
      </c>
      <c r="B4315" s="8" t="s">
        <v>4274</v>
      </c>
    </row>
    <row r="4316" spans="1:2" x14ac:dyDescent="0.3">
      <c r="A4316" s="5" t="str">
        <f>HYPERLINK("http://www.eatonpowersource.com/products/configure/industrial%20valves/details/02-333306","02-333306")</f>
        <v>02-333306</v>
      </c>
      <c r="B4316" s="6" t="s">
        <v>4275</v>
      </c>
    </row>
    <row r="4317" spans="1:2" x14ac:dyDescent="0.3">
      <c r="A4317" s="7" t="str">
        <f>HYPERLINK("http://www.eatonpowersource.com/products/configure/industrial%20valves/details/02-333395","02-333395")</f>
        <v>02-333395</v>
      </c>
      <c r="B4317" s="8" t="s">
        <v>4276</v>
      </c>
    </row>
    <row r="4318" spans="1:2" x14ac:dyDescent="0.3">
      <c r="A4318" s="5" t="str">
        <f>HYPERLINK("http://www.eatonpowersource.com/products/configure/industrial%20valves/details/02-333437","02-333437")</f>
        <v>02-333437</v>
      </c>
      <c r="B4318" s="6" t="s">
        <v>4277</v>
      </c>
    </row>
    <row r="4319" spans="1:2" x14ac:dyDescent="0.3">
      <c r="A4319" s="7" t="str">
        <f>HYPERLINK("http://www.eatonpowersource.com/products/configure/industrial%20valves/details/02-333521","02-333521")</f>
        <v>02-333521</v>
      </c>
      <c r="B4319" s="8" t="s">
        <v>4278</v>
      </c>
    </row>
    <row r="4320" spans="1:2" x14ac:dyDescent="0.3">
      <c r="A4320" s="5" t="str">
        <f>HYPERLINK("http://www.eatonpowersource.com/products/configure/industrial%20valves/details/02-333552","02-333552")</f>
        <v>02-333552</v>
      </c>
      <c r="B4320" s="6" t="s">
        <v>4279</v>
      </c>
    </row>
    <row r="4321" spans="1:2" x14ac:dyDescent="0.3">
      <c r="A4321" s="7" t="str">
        <f>HYPERLINK("http://www.eatonpowersource.com/products/configure/industrial%20valves/details/02-333644","02-333644")</f>
        <v>02-333644</v>
      </c>
      <c r="B4321" s="8" t="s">
        <v>4280</v>
      </c>
    </row>
    <row r="4322" spans="1:2" x14ac:dyDescent="0.3">
      <c r="A4322" s="5" t="str">
        <f>HYPERLINK("http://www.eatonpowersource.com/products/configure/industrial%20valves/details/02-339801","02-339801")</f>
        <v>02-339801</v>
      </c>
      <c r="B4322" s="6" t="s">
        <v>4281</v>
      </c>
    </row>
    <row r="4323" spans="1:2" x14ac:dyDescent="0.3">
      <c r="A4323" s="7" t="str">
        <f>HYPERLINK("http://www.eatonpowersource.com/products/configure/industrial%20valves/details/02-350030","02-350030")</f>
        <v>02-350030</v>
      </c>
      <c r="B4323" s="8" t="s">
        <v>4282</v>
      </c>
    </row>
    <row r="4324" spans="1:2" x14ac:dyDescent="0.3">
      <c r="A4324" s="5" t="str">
        <f>HYPERLINK("http://www.eatonpowersource.com/products/configure/industrial%20valves/details/02-350088","02-350088")</f>
        <v>02-350088</v>
      </c>
      <c r="B4324" s="6" t="s">
        <v>4283</v>
      </c>
    </row>
    <row r="4325" spans="1:2" x14ac:dyDescent="0.3">
      <c r="A4325" s="7" t="str">
        <f>HYPERLINK("http://www.eatonpowersource.com/products/configure/industrial%20valves/details/02-350125","02-350125")</f>
        <v>02-350125</v>
      </c>
      <c r="B4325" s="8" t="s">
        <v>4284</v>
      </c>
    </row>
    <row r="4326" spans="1:2" x14ac:dyDescent="0.3">
      <c r="A4326" s="5" t="str">
        <f>HYPERLINK("http://www.eatonpowersource.com/products/configure/industrial%20valves/details/02-350228","02-350228")</f>
        <v>02-350228</v>
      </c>
      <c r="B4326" s="6" t="s">
        <v>4285</v>
      </c>
    </row>
    <row r="4327" spans="1:2" x14ac:dyDescent="0.3">
      <c r="A4327" s="7" t="str">
        <f>HYPERLINK("http://www.eatonpowersource.com/products/configure/industrial%20valves/details/02-350289","02-350289")</f>
        <v>02-350289</v>
      </c>
      <c r="B4327" s="8" t="s">
        <v>4286</v>
      </c>
    </row>
    <row r="4328" spans="1:2" x14ac:dyDescent="0.3">
      <c r="A4328" s="5" t="str">
        <f>HYPERLINK("http://www.eatonpowersource.com/products/configure/industrial%20valves/details/02-350313","02-350313")</f>
        <v>02-350313</v>
      </c>
      <c r="B4328" s="6" t="s">
        <v>4287</v>
      </c>
    </row>
    <row r="4329" spans="1:2" x14ac:dyDescent="0.3">
      <c r="A4329" s="7" t="str">
        <f>HYPERLINK("http://www.eatonpowersource.com/products/configure/industrial%20valves/details/02-350356","02-350356")</f>
        <v>02-350356</v>
      </c>
      <c r="B4329" s="8" t="s">
        <v>4288</v>
      </c>
    </row>
    <row r="4330" spans="1:2" x14ac:dyDescent="0.3">
      <c r="A4330" s="5" t="str">
        <f>HYPERLINK("http://www.eatonpowersource.com/products/configure/industrial%20valves/details/02-350408","02-350408")</f>
        <v>02-350408</v>
      </c>
      <c r="B4330" s="6" t="s">
        <v>4289</v>
      </c>
    </row>
    <row r="4331" spans="1:2" x14ac:dyDescent="0.3">
      <c r="A4331" s="7" t="str">
        <f>HYPERLINK("http://www.eatonpowersource.com/products/configure/industrial%20valves/details/02-350445","02-350445")</f>
        <v>02-350445</v>
      </c>
      <c r="B4331" s="8" t="s">
        <v>4290</v>
      </c>
    </row>
    <row r="4332" spans="1:2" x14ac:dyDescent="0.3">
      <c r="A4332" s="5" t="str">
        <f>HYPERLINK("http://www.eatonpowersource.com/products/configure/industrial%20valves/details/02-350752","02-350752")</f>
        <v>02-350752</v>
      </c>
      <c r="B4332" s="6" t="s">
        <v>4291</v>
      </c>
    </row>
    <row r="4333" spans="1:2" x14ac:dyDescent="0.3">
      <c r="A4333" s="7" t="str">
        <f>HYPERLINK("http://www.eatonpowersource.com/products/configure/industrial%20valves/details/02-350939","02-350939")</f>
        <v>02-350939</v>
      </c>
      <c r="B4333" s="8" t="s">
        <v>4292</v>
      </c>
    </row>
    <row r="4334" spans="1:2" x14ac:dyDescent="0.3">
      <c r="A4334" s="5" t="str">
        <f>HYPERLINK("http://www.eatonpowersource.com/products/configure/industrial%20valves/details/02-351000","02-351000")</f>
        <v>02-351000</v>
      </c>
      <c r="B4334" s="6" t="s">
        <v>4293</v>
      </c>
    </row>
    <row r="4335" spans="1:2" x14ac:dyDescent="0.3">
      <c r="A4335" s="7" t="str">
        <f>HYPERLINK("http://www.eatonpowersource.com/products/configure/industrial%20valves/details/02-351092","02-351092")</f>
        <v>02-351092</v>
      </c>
      <c r="B4335" s="8" t="s">
        <v>4294</v>
      </c>
    </row>
    <row r="4336" spans="1:2" x14ac:dyDescent="0.3">
      <c r="A4336" s="5" t="str">
        <f>HYPERLINK("http://www.eatonpowersource.com/products/configure/industrial%20valves/details/02-351168","02-351168")</f>
        <v>02-351168</v>
      </c>
      <c r="B4336" s="6" t="s">
        <v>4295</v>
      </c>
    </row>
    <row r="4337" spans="1:2" x14ac:dyDescent="0.3">
      <c r="A4337" s="7" t="str">
        <f>HYPERLINK("http://www.eatonpowersource.com/products/configure/industrial%20valves/details/02-351169","02-351169")</f>
        <v>02-351169</v>
      </c>
      <c r="B4337" s="8" t="s">
        <v>4296</v>
      </c>
    </row>
    <row r="4338" spans="1:2" x14ac:dyDescent="0.3">
      <c r="A4338" s="5" t="str">
        <f>HYPERLINK("http://www.eatonpowersource.com/products/configure/industrial%20valves/details/02-351170","02-351170")</f>
        <v>02-351170</v>
      </c>
      <c r="B4338" s="6" t="s">
        <v>4297</v>
      </c>
    </row>
    <row r="4339" spans="1:2" x14ac:dyDescent="0.3">
      <c r="A4339" s="7" t="str">
        <f>HYPERLINK("http://www.eatonpowersource.com/products/configure/industrial%20valves/details/02-351174","02-351174")</f>
        <v>02-351174</v>
      </c>
      <c r="B4339" s="8" t="s">
        <v>4298</v>
      </c>
    </row>
    <row r="4340" spans="1:2" x14ac:dyDescent="0.3">
      <c r="A4340" s="5" t="str">
        <f>HYPERLINK("http://www.eatonpowersource.com/products/configure/industrial%20valves/details/02-351177","02-351177")</f>
        <v>02-351177</v>
      </c>
      <c r="B4340" s="6" t="s">
        <v>4299</v>
      </c>
    </row>
    <row r="4341" spans="1:2" x14ac:dyDescent="0.3">
      <c r="A4341" s="7" t="str">
        <f>HYPERLINK("http://www.eatonpowersource.com/products/configure/industrial%20valves/details/02-351178","02-351178")</f>
        <v>02-351178</v>
      </c>
      <c r="B4341" s="8" t="s">
        <v>4300</v>
      </c>
    </row>
    <row r="4342" spans="1:2" x14ac:dyDescent="0.3">
      <c r="A4342" s="5" t="str">
        <f>HYPERLINK("http://www.eatonpowersource.com/products/configure/industrial%20valves/details/02-351179","02-351179")</f>
        <v>02-351179</v>
      </c>
      <c r="B4342" s="6" t="s">
        <v>4301</v>
      </c>
    </row>
    <row r="4343" spans="1:2" x14ac:dyDescent="0.3">
      <c r="A4343" s="7" t="str">
        <f>HYPERLINK("http://www.eatonpowersource.com/products/configure/industrial%20valves/details/02-351180","02-351180")</f>
        <v>02-351180</v>
      </c>
      <c r="B4343" s="8" t="s">
        <v>4302</v>
      </c>
    </row>
    <row r="4344" spans="1:2" x14ac:dyDescent="0.3">
      <c r="A4344" s="5" t="str">
        <f>HYPERLINK("http://www.eatonpowersource.com/products/configure/industrial%20valves/details/02-351181","02-351181")</f>
        <v>02-351181</v>
      </c>
      <c r="B4344" s="6" t="s">
        <v>4303</v>
      </c>
    </row>
    <row r="4345" spans="1:2" x14ac:dyDescent="0.3">
      <c r="A4345" s="7" t="str">
        <f>HYPERLINK("http://www.eatonpowersource.com/products/configure/industrial%20valves/details/02-351182","02-351182")</f>
        <v>02-351182</v>
      </c>
      <c r="B4345" s="8" t="s">
        <v>4304</v>
      </c>
    </row>
    <row r="4346" spans="1:2" x14ac:dyDescent="0.3">
      <c r="A4346" s="5" t="str">
        <f>HYPERLINK("http://www.eatonpowersource.com/products/configure/industrial%20valves/details/02-351404","02-351404")</f>
        <v>02-351404</v>
      </c>
      <c r="B4346" s="6" t="s">
        <v>4305</v>
      </c>
    </row>
    <row r="4347" spans="1:2" x14ac:dyDescent="0.3">
      <c r="A4347" s="7" t="str">
        <f>HYPERLINK("http://www.eatonpowersource.com/products/configure/industrial%20valves/details/02-351408","02-351408")</f>
        <v>02-351408</v>
      </c>
      <c r="B4347" s="8" t="s">
        <v>4306</v>
      </c>
    </row>
    <row r="4348" spans="1:2" x14ac:dyDescent="0.3">
      <c r="A4348" s="5" t="str">
        <f>HYPERLINK("http://www.eatonpowersource.com/products/configure/industrial%20valves/details/02-351439","02-351439")</f>
        <v>02-351439</v>
      </c>
      <c r="B4348" s="6" t="s">
        <v>4307</v>
      </c>
    </row>
    <row r="4349" spans="1:2" x14ac:dyDescent="0.3">
      <c r="A4349" s="7" t="str">
        <f>HYPERLINK("http://www.eatonpowersource.com/products/configure/industrial%20valves/details/02-351514","02-351514")</f>
        <v>02-351514</v>
      </c>
      <c r="B4349" s="8" t="s">
        <v>4308</v>
      </c>
    </row>
    <row r="4350" spans="1:2" x14ac:dyDescent="0.3">
      <c r="A4350" s="5" t="str">
        <f>HYPERLINK("http://www.eatonpowersource.com/products/configure/industrial%20valves/details/02-351515","02-351515")</f>
        <v>02-351515</v>
      </c>
      <c r="B4350" s="6" t="s">
        <v>4309</v>
      </c>
    </row>
    <row r="4351" spans="1:2" x14ac:dyDescent="0.3">
      <c r="A4351" s="7" t="str">
        <f>HYPERLINK("http://www.eatonpowersource.com/products/configure/industrial%20valves/details/02-351530","02-351530")</f>
        <v>02-351530</v>
      </c>
      <c r="B4351" s="8" t="s">
        <v>4310</v>
      </c>
    </row>
    <row r="4352" spans="1:2" x14ac:dyDescent="0.3">
      <c r="A4352" s="5" t="str">
        <f>HYPERLINK("http://www.eatonpowersource.com/products/configure/industrial%20valves/details/02-351531","02-351531")</f>
        <v>02-351531</v>
      </c>
      <c r="B4352" s="6" t="s">
        <v>4311</v>
      </c>
    </row>
    <row r="4353" spans="1:2" x14ac:dyDescent="0.3">
      <c r="A4353" s="7" t="str">
        <f>HYPERLINK("http://www.eatonpowersource.com/products/configure/industrial%20valves/details/02-351541","02-351541")</f>
        <v>02-351541</v>
      </c>
      <c r="B4353" s="8" t="s">
        <v>4312</v>
      </c>
    </row>
    <row r="4354" spans="1:2" x14ac:dyDescent="0.3">
      <c r="A4354" s="5" t="str">
        <f>HYPERLINK("http://www.eatonpowersource.com/products/configure/industrial%20valves/details/02-351561","02-351561")</f>
        <v>02-351561</v>
      </c>
      <c r="B4354" s="6" t="s">
        <v>4313</v>
      </c>
    </row>
    <row r="4355" spans="1:2" x14ac:dyDescent="0.3">
      <c r="A4355" s="7" t="str">
        <f>HYPERLINK("http://www.eatonpowersource.com/products/configure/industrial%20valves/details/02-351681","02-351681")</f>
        <v>02-351681</v>
      </c>
      <c r="B4355" s="8" t="s">
        <v>4314</v>
      </c>
    </row>
    <row r="4356" spans="1:2" x14ac:dyDescent="0.3">
      <c r="A4356" s="5" t="str">
        <f>HYPERLINK("http://www.eatonpowersource.com/products/configure/industrial%20valves/details/02-351690","02-351690")</f>
        <v>02-351690</v>
      </c>
      <c r="B4356" s="6" t="s">
        <v>4315</v>
      </c>
    </row>
    <row r="4357" spans="1:2" x14ac:dyDescent="0.3">
      <c r="A4357" s="7" t="str">
        <f>HYPERLINK("http://www.eatonpowersource.com/products/configure/industrial%20valves/details/02-351692","02-351692")</f>
        <v>02-351692</v>
      </c>
      <c r="B4357" s="8" t="s">
        <v>4316</v>
      </c>
    </row>
    <row r="4358" spans="1:2" x14ac:dyDescent="0.3">
      <c r="A4358" s="5" t="str">
        <f>HYPERLINK("http://www.eatonpowersource.com/products/configure/industrial%20valves/details/02-351697","02-351697")</f>
        <v>02-351697</v>
      </c>
      <c r="B4358" s="6" t="s">
        <v>4317</v>
      </c>
    </row>
    <row r="4359" spans="1:2" x14ac:dyDescent="0.3">
      <c r="A4359" s="7" t="str">
        <f>HYPERLINK("http://www.eatonpowersource.com/products/configure/industrial%20valves/details/02-351698","02-351698")</f>
        <v>02-351698</v>
      </c>
      <c r="B4359" s="8" t="s">
        <v>4318</v>
      </c>
    </row>
    <row r="4360" spans="1:2" x14ac:dyDescent="0.3">
      <c r="A4360" s="5" t="str">
        <f>HYPERLINK("http://www.eatonpowersource.com/products/configure/industrial%20valves/details/02-351699","02-351699")</f>
        <v>02-351699</v>
      </c>
      <c r="B4360" s="6" t="s">
        <v>4319</v>
      </c>
    </row>
    <row r="4361" spans="1:2" x14ac:dyDescent="0.3">
      <c r="A4361" s="7" t="str">
        <f>HYPERLINK("http://www.eatonpowersource.com/products/configure/industrial%20valves/details/02-351702","02-351702")</f>
        <v>02-351702</v>
      </c>
      <c r="B4361" s="8" t="s">
        <v>4320</v>
      </c>
    </row>
    <row r="4362" spans="1:2" x14ac:dyDescent="0.3">
      <c r="A4362" s="5" t="str">
        <f>HYPERLINK("http://www.eatonpowersource.com/products/configure/industrial%20valves/details/02-351703","02-351703")</f>
        <v>02-351703</v>
      </c>
      <c r="B4362" s="6" t="s">
        <v>4321</v>
      </c>
    </row>
    <row r="4363" spans="1:2" x14ac:dyDescent="0.3">
      <c r="A4363" s="7" t="str">
        <f>HYPERLINK("http://www.eatonpowersource.com/products/configure/industrial%20valves/details/02-351704","02-351704")</f>
        <v>02-351704</v>
      </c>
      <c r="B4363" s="8" t="s">
        <v>4322</v>
      </c>
    </row>
    <row r="4364" spans="1:2" x14ac:dyDescent="0.3">
      <c r="A4364" s="5" t="str">
        <f>HYPERLINK("http://www.eatonpowersource.com/products/configure/industrial%20valves/details/02-351711","02-351711")</f>
        <v>02-351711</v>
      </c>
      <c r="B4364" s="6" t="s">
        <v>4323</v>
      </c>
    </row>
    <row r="4365" spans="1:2" x14ac:dyDescent="0.3">
      <c r="A4365" s="7" t="str">
        <f>HYPERLINK("http://www.eatonpowersource.com/products/configure/industrial%20valves/details/02-351713","02-351713")</f>
        <v>02-351713</v>
      </c>
      <c r="B4365" s="8" t="s">
        <v>4324</v>
      </c>
    </row>
    <row r="4366" spans="1:2" x14ac:dyDescent="0.3">
      <c r="A4366" s="5" t="str">
        <f>HYPERLINK("http://www.eatonpowersource.com/products/configure/industrial%20valves/details/02-351714","02-351714")</f>
        <v>02-351714</v>
      </c>
      <c r="B4366" s="6" t="s">
        <v>4325</v>
      </c>
    </row>
    <row r="4367" spans="1:2" x14ac:dyDescent="0.3">
      <c r="A4367" s="7" t="str">
        <f>HYPERLINK("http://www.eatonpowersource.com/products/configure/industrial%20valves/details/02-351716","02-351716")</f>
        <v>02-351716</v>
      </c>
      <c r="B4367" s="8" t="s">
        <v>4326</v>
      </c>
    </row>
    <row r="4368" spans="1:2" x14ac:dyDescent="0.3">
      <c r="A4368" s="5" t="str">
        <f>HYPERLINK("http://www.eatonpowersource.com/products/configure/industrial%20valves/details/02-351717","02-351717")</f>
        <v>02-351717</v>
      </c>
      <c r="B4368" s="6" t="s">
        <v>4327</v>
      </c>
    </row>
    <row r="4369" spans="1:2" x14ac:dyDescent="0.3">
      <c r="A4369" s="7" t="str">
        <f>HYPERLINK("http://www.eatonpowersource.com/products/configure/industrial%20valves/details/02-351722","02-351722")</f>
        <v>02-351722</v>
      </c>
      <c r="B4369" s="8" t="s">
        <v>4328</v>
      </c>
    </row>
    <row r="4370" spans="1:2" x14ac:dyDescent="0.3">
      <c r="A4370" s="5" t="str">
        <f>HYPERLINK("http://www.eatonpowersource.com/products/configure/industrial%20valves/details/02-351725","02-351725")</f>
        <v>02-351725</v>
      </c>
      <c r="B4370" s="6" t="s">
        <v>4329</v>
      </c>
    </row>
    <row r="4371" spans="1:2" x14ac:dyDescent="0.3">
      <c r="A4371" s="7" t="str">
        <f>HYPERLINK("http://www.eatonpowersource.com/products/configure/industrial%20valves/details/02-351726","02-351726")</f>
        <v>02-351726</v>
      </c>
      <c r="B4371" s="8" t="s">
        <v>4330</v>
      </c>
    </row>
    <row r="4372" spans="1:2" x14ac:dyDescent="0.3">
      <c r="A4372" s="5" t="str">
        <f>HYPERLINK("http://www.eatonpowersource.com/products/configure/industrial%20valves/details/02-351727","02-351727")</f>
        <v>02-351727</v>
      </c>
      <c r="B4372" s="6" t="s">
        <v>4331</v>
      </c>
    </row>
    <row r="4373" spans="1:2" x14ac:dyDescent="0.3">
      <c r="A4373" s="7" t="str">
        <f>HYPERLINK("http://www.eatonpowersource.com/products/configure/industrial%20valves/details/02-351752","02-351752")</f>
        <v>02-351752</v>
      </c>
      <c r="B4373" s="8" t="s">
        <v>4332</v>
      </c>
    </row>
    <row r="4374" spans="1:2" x14ac:dyDescent="0.3">
      <c r="A4374" s="5" t="str">
        <f>HYPERLINK("http://www.eatonpowersource.com/products/configure/industrial%20valves/details/02-351757","02-351757")</f>
        <v>02-351757</v>
      </c>
      <c r="B4374" s="6" t="s">
        <v>4333</v>
      </c>
    </row>
    <row r="4375" spans="1:2" x14ac:dyDescent="0.3">
      <c r="A4375" s="7" t="str">
        <f>HYPERLINK("http://www.eatonpowersource.com/products/configure/industrial%20valves/details/02-351760","02-351760")</f>
        <v>02-351760</v>
      </c>
      <c r="B4375" s="8" t="s">
        <v>4334</v>
      </c>
    </row>
    <row r="4376" spans="1:2" x14ac:dyDescent="0.3">
      <c r="A4376" s="5" t="str">
        <f>HYPERLINK("http://www.eatonpowersource.com/products/configure/industrial%20valves/details/02-351765","02-351765")</f>
        <v>02-351765</v>
      </c>
      <c r="B4376" s="6" t="s">
        <v>4335</v>
      </c>
    </row>
    <row r="4377" spans="1:2" x14ac:dyDescent="0.3">
      <c r="A4377" s="7" t="str">
        <f>HYPERLINK("http://www.eatonpowersource.com/products/configure/industrial%20valves/details/02-351769","02-351769")</f>
        <v>02-351769</v>
      </c>
      <c r="B4377" s="8" t="s">
        <v>4336</v>
      </c>
    </row>
    <row r="4378" spans="1:2" x14ac:dyDescent="0.3">
      <c r="A4378" s="5" t="str">
        <f>HYPERLINK("http://www.eatonpowersource.com/products/configure/industrial%20valves/details/02-351771","02-351771")</f>
        <v>02-351771</v>
      </c>
      <c r="B4378" s="6" t="s">
        <v>4337</v>
      </c>
    </row>
    <row r="4379" spans="1:2" x14ac:dyDescent="0.3">
      <c r="A4379" s="7" t="str">
        <f>HYPERLINK("http://www.eatonpowersource.com/products/configure/industrial%20valves/details/02-351772","02-351772")</f>
        <v>02-351772</v>
      </c>
      <c r="B4379" s="8" t="s">
        <v>4338</v>
      </c>
    </row>
    <row r="4380" spans="1:2" x14ac:dyDescent="0.3">
      <c r="A4380" s="5" t="str">
        <f>HYPERLINK("http://www.eatonpowersource.com/products/configure/industrial%20valves/details/02-351775","02-351775")</f>
        <v>02-351775</v>
      </c>
      <c r="B4380" s="6" t="s">
        <v>4339</v>
      </c>
    </row>
    <row r="4381" spans="1:2" x14ac:dyDescent="0.3">
      <c r="A4381" s="7" t="str">
        <f>HYPERLINK("http://www.eatonpowersource.com/products/configure/industrial%20valves/details/02-351780","02-351780")</f>
        <v>02-351780</v>
      </c>
      <c r="B4381" s="8" t="s">
        <v>4340</v>
      </c>
    </row>
    <row r="4382" spans="1:2" x14ac:dyDescent="0.3">
      <c r="A4382" s="5" t="str">
        <f>HYPERLINK("http://www.eatonpowersource.com/products/configure/industrial%20valves/details/02-351781","02-351781")</f>
        <v>02-351781</v>
      </c>
      <c r="B4382" s="6" t="s">
        <v>4341</v>
      </c>
    </row>
    <row r="4383" spans="1:2" x14ac:dyDescent="0.3">
      <c r="A4383" s="7" t="str">
        <f>HYPERLINK("http://www.eatonpowersource.com/products/configure/industrial%20valves/details/02-351782","02-351782")</f>
        <v>02-351782</v>
      </c>
      <c r="B4383" s="8" t="s">
        <v>4342</v>
      </c>
    </row>
    <row r="4384" spans="1:2" x14ac:dyDescent="0.3">
      <c r="A4384" s="5" t="str">
        <f>HYPERLINK("http://www.eatonpowersource.com/products/configure/industrial%20valves/details/02-351791","02-351791")</f>
        <v>02-351791</v>
      </c>
      <c r="B4384" s="6" t="s">
        <v>4343</v>
      </c>
    </row>
    <row r="4385" spans="1:2" x14ac:dyDescent="0.3">
      <c r="A4385" s="7" t="str">
        <f>HYPERLINK("http://www.eatonpowersource.com/products/configure/industrial%20valves/details/02-351792","02-351792")</f>
        <v>02-351792</v>
      </c>
      <c r="B4385" s="8" t="s">
        <v>4344</v>
      </c>
    </row>
    <row r="4386" spans="1:2" x14ac:dyDescent="0.3">
      <c r="A4386" s="5" t="str">
        <f>HYPERLINK("http://www.eatonpowersource.com/products/configure/industrial%20valves/details/02-351819","02-351819")</f>
        <v>02-351819</v>
      </c>
      <c r="B4386" s="6" t="s">
        <v>4345</v>
      </c>
    </row>
    <row r="4387" spans="1:2" x14ac:dyDescent="0.3">
      <c r="A4387" s="7" t="str">
        <f>HYPERLINK("http://www.eatonpowersource.com/products/configure/industrial%20valves/details/02-351836","02-351836")</f>
        <v>02-351836</v>
      </c>
      <c r="B4387" s="8" t="s">
        <v>4346</v>
      </c>
    </row>
    <row r="4388" spans="1:2" x14ac:dyDescent="0.3">
      <c r="A4388" s="5" t="str">
        <f>HYPERLINK("http://www.eatonpowersource.com/products/configure/industrial%20valves/details/02-351901","02-351901")</f>
        <v>02-351901</v>
      </c>
      <c r="B4388" s="6" t="s">
        <v>4347</v>
      </c>
    </row>
    <row r="4389" spans="1:2" x14ac:dyDescent="0.3">
      <c r="A4389" s="7" t="str">
        <f>HYPERLINK("http://www.eatonpowersource.com/products/configure/industrial%20valves/details/02-351918","02-351918")</f>
        <v>02-351918</v>
      </c>
      <c r="B4389" s="8" t="s">
        <v>4348</v>
      </c>
    </row>
    <row r="4390" spans="1:2" x14ac:dyDescent="0.3">
      <c r="A4390" s="5" t="str">
        <f>HYPERLINK("http://www.eatonpowersource.com/products/configure/industrial%20valves/details/02-351959","02-351959")</f>
        <v>02-351959</v>
      </c>
      <c r="B4390" s="6" t="s">
        <v>4349</v>
      </c>
    </row>
    <row r="4391" spans="1:2" x14ac:dyDescent="0.3">
      <c r="A4391" s="7" t="str">
        <f>HYPERLINK("http://www.eatonpowersource.com/products/configure/industrial%20valves/details/02-351960","02-351960")</f>
        <v>02-351960</v>
      </c>
      <c r="B4391" s="8" t="s">
        <v>4350</v>
      </c>
    </row>
    <row r="4392" spans="1:2" x14ac:dyDescent="0.3">
      <c r="A4392" s="5" t="str">
        <f>HYPERLINK("http://www.eatonpowersource.com/products/configure/industrial%20valves/details/02-352027","02-352027")</f>
        <v>02-352027</v>
      </c>
      <c r="B4392" s="6" t="s">
        <v>4351</v>
      </c>
    </row>
    <row r="4393" spans="1:2" x14ac:dyDescent="0.3">
      <c r="A4393" s="7" t="str">
        <f>HYPERLINK("http://www.eatonpowersource.com/products/configure/industrial%20valves/details/02-352030","02-352030")</f>
        <v>02-352030</v>
      </c>
      <c r="B4393" s="8" t="s">
        <v>4352</v>
      </c>
    </row>
    <row r="4394" spans="1:2" x14ac:dyDescent="0.3">
      <c r="A4394" s="5" t="str">
        <f>HYPERLINK("http://www.eatonpowersource.com/products/configure/industrial%20valves/details/02-352070","02-352070")</f>
        <v>02-352070</v>
      </c>
      <c r="B4394" s="6" t="s">
        <v>4353</v>
      </c>
    </row>
    <row r="4395" spans="1:2" x14ac:dyDescent="0.3">
      <c r="A4395" s="7" t="str">
        <f>HYPERLINK("http://www.eatonpowersource.com/products/configure/industrial%20valves/details/02-352073","02-352073")</f>
        <v>02-352073</v>
      </c>
      <c r="B4395" s="8" t="s">
        <v>4354</v>
      </c>
    </row>
    <row r="4396" spans="1:2" x14ac:dyDescent="0.3">
      <c r="A4396" s="5" t="str">
        <f>HYPERLINK("http://www.eatonpowersource.com/products/configure/industrial%20valves/details/02-352110","02-352110")</f>
        <v>02-352110</v>
      </c>
      <c r="B4396" s="6" t="s">
        <v>4355</v>
      </c>
    </row>
    <row r="4397" spans="1:2" x14ac:dyDescent="0.3">
      <c r="A4397" s="7" t="str">
        <f>HYPERLINK("http://www.eatonpowersource.com/products/configure/industrial%20valves/details/02-352213","02-352213")</f>
        <v>02-352213</v>
      </c>
      <c r="B4397" s="8" t="s">
        <v>4356</v>
      </c>
    </row>
    <row r="4398" spans="1:2" x14ac:dyDescent="0.3">
      <c r="A4398" s="5" t="str">
        <f>HYPERLINK("http://www.eatonpowersource.com/products/configure/industrial%20valves/details/02-352236","02-352236")</f>
        <v>02-352236</v>
      </c>
      <c r="B4398" s="6" t="s">
        <v>4357</v>
      </c>
    </row>
    <row r="4399" spans="1:2" x14ac:dyDescent="0.3">
      <c r="A4399" s="7" t="str">
        <f>HYPERLINK("http://www.eatonpowersource.com/products/configure/industrial%20valves/details/02-352273","02-352273")</f>
        <v>02-352273</v>
      </c>
      <c r="B4399" s="8" t="s">
        <v>4358</v>
      </c>
    </row>
    <row r="4400" spans="1:2" x14ac:dyDescent="0.3">
      <c r="A4400" s="5" t="str">
        <f>HYPERLINK("http://www.eatonpowersource.com/products/configure/industrial%20valves/details/02-352305","02-352305")</f>
        <v>02-352305</v>
      </c>
      <c r="B4400" s="6" t="s">
        <v>4359</v>
      </c>
    </row>
    <row r="4401" spans="1:2" x14ac:dyDescent="0.3">
      <c r="A4401" s="7" t="str">
        <f>HYPERLINK("http://www.eatonpowersource.com/products/configure/industrial%20valves/details/02-352344","02-352344")</f>
        <v>02-352344</v>
      </c>
      <c r="B4401" s="8" t="s">
        <v>4360</v>
      </c>
    </row>
    <row r="4402" spans="1:2" x14ac:dyDescent="0.3">
      <c r="A4402" s="5" t="str">
        <f>HYPERLINK("http://www.eatonpowersource.com/products/configure/industrial%20valves/details/02-352462","02-352462")</f>
        <v>02-352462</v>
      </c>
      <c r="B4402" s="6" t="s">
        <v>4361</v>
      </c>
    </row>
    <row r="4403" spans="1:2" x14ac:dyDescent="0.3">
      <c r="A4403" s="7" t="str">
        <f>HYPERLINK("http://www.eatonpowersource.com/products/configure/industrial%20valves/details/02-352463","02-352463")</f>
        <v>02-352463</v>
      </c>
      <c r="B4403" s="8" t="s">
        <v>4362</v>
      </c>
    </row>
    <row r="4404" spans="1:2" x14ac:dyDescent="0.3">
      <c r="A4404" s="5" t="str">
        <f>HYPERLINK("http://www.eatonpowersource.com/products/configure/industrial%20valves/details/02-352464","02-352464")</f>
        <v>02-352464</v>
      </c>
      <c r="B4404" s="6" t="s">
        <v>4363</v>
      </c>
    </row>
    <row r="4405" spans="1:2" x14ac:dyDescent="0.3">
      <c r="A4405" s="7" t="str">
        <f>HYPERLINK("http://www.eatonpowersource.com/products/configure/industrial%20valves/details/02-352465","02-352465")</f>
        <v>02-352465</v>
      </c>
      <c r="B4405" s="8" t="s">
        <v>4364</v>
      </c>
    </row>
    <row r="4406" spans="1:2" x14ac:dyDescent="0.3">
      <c r="A4406" s="5" t="str">
        <f>HYPERLINK("http://www.eatonpowersource.com/products/configure/industrial%20valves/details/02-352466","02-352466")</f>
        <v>02-352466</v>
      </c>
      <c r="B4406" s="6" t="s">
        <v>4365</v>
      </c>
    </row>
    <row r="4407" spans="1:2" x14ac:dyDescent="0.3">
      <c r="A4407" s="7" t="str">
        <f>HYPERLINK("http://www.eatonpowersource.com/products/configure/industrial%20valves/details/02-352467","02-352467")</f>
        <v>02-352467</v>
      </c>
      <c r="B4407" s="8" t="s">
        <v>4366</v>
      </c>
    </row>
    <row r="4408" spans="1:2" x14ac:dyDescent="0.3">
      <c r="A4408" s="5" t="str">
        <f>HYPERLINK("http://www.eatonpowersource.com/products/configure/industrial%20valves/details/02-352468","02-352468")</f>
        <v>02-352468</v>
      </c>
      <c r="B4408" s="6" t="s">
        <v>4367</v>
      </c>
    </row>
    <row r="4409" spans="1:2" x14ac:dyDescent="0.3">
      <c r="A4409" s="7" t="str">
        <f>HYPERLINK("http://www.eatonpowersource.com/products/configure/industrial%20valves/details/02-352469","02-352469")</f>
        <v>02-352469</v>
      </c>
      <c r="B4409" s="8" t="s">
        <v>4368</v>
      </c>
    </row>
    <row r="4410" spans="1:2" x14ac:dyDescent="0.3">
      <c r="A4410" s="5" t="str">
        <f>HYPERLINK("http://www.eatonpowersource.com/products/configure/industrial%20valves/details/02-352470","02-352470")</f>
        <v>02-352470</v>
      </c>
      <c r="B4410" s="6" t="s">
        <v>4369</v>
      </c>
    </row>
    <row r="4411" spans="1:2" x14ac:dyDescent="0.3">
      <c r="A4411" s="7" t="str">
        <f>HYPERLINK("http://www.eatonpowersource.com/products/configure/industrial%20valves/details/02-352471","02-352471")</f>
        <v>02-352471</v>
      </c>
      <c r="B4411" s="8" t="s">
        <v>4370</v>
      </c>
    </row>
    <row r="4412" spans="1:2" x14ac:dyDescent="0.3">
      <c r="A4412" s="5" t="str">
        <f>HYPERLINK("http://www.eatonpowersource.com/products/configure/industrial%20valves/details/02-352474","02-352474")</f>
        <v>02-352474</v>
      </c>
      <c r="B4412" s="6" t="s">
        <v>4371</v>
      </c>
    </row>
    <row r="4413" spans="1:2" x14ac:dyDescent="0.3">
      <c r="A4413" s="7" t="str">
        <f>HYPERLINK("http://www.eatonpowersource.com/products/configure/industrial%20valves/details/02-352475","02-352475")</f>
        <v>02-352475</v>
      </c>
      <c r="B4413" s="8" t="s">
        <v>4372</v>
      </c>
    </row>
    <row r="4414" spans="1:2" x14ac:dyDescent="0.3">
      <c r="A4414" s="5" t="str">
        <f>HYPERLINK("http://www.eatonpowersource.com/products/configure/industrial%20valves/details/02-352476","02-352476")</f>
        <v>02-352476</v>
      </c>
      <c r="B4414" s="6" t="s">
        <v>4373</v>
      </c>
    </row>
    <row r="4415" spans="1:2" x14ac:dyDescent="0.3">
      <c r="A4415" s="7" t="str">
        <f>HYPERLINK("http://www.eatonpowersource.com/products/configure/industrial%20valves/details/02-352477","02-352477")</f>
        <v>02-352477</v>
      </c>
      <c r="B4415" s="8" t="s">
        <v>4374</v>
      </c>
    </row>
    <row r="4416" spans="1:2" x14ac:dyDescent="0.3">
      <c r="A4416" s="5" t="str">
        <f>HYPERLINK("http://www.eatonpowersource.com/products/configure/industrial%20valves/details/02-352478","02-352478")</f>
        <v>02-352478</v>
      </c>
      <c r="B4416" s="6" t="s">
        <v>4375</v>
      </c>
    </row>
    <row r="4417" spans="1:2" x14ac:dyDescent="0.3">
      <c r="A4417" s="7" t="str">
        <f>HYPERLINK("http://www.eatonpowersource.com/products/configure/industrial%20valves/details/02-352480","02-352480")</f>
        <v>02-352480</v>
      </c>
      <c r="B4417" s="8" t="s">
        <v>4376</v>
      </c>
    </row>
    <row r="4418" spans="1:2" x14ac:dyDescent="0.3">
      <c r="A4418" s="5" t="str">
        <f>HYPERLINK("http://www.eatonpowersource.com/products/configure/industrial%20valves/details/02-352481","02-352481")</f>
        <v>02-352481</v>
      </c>
      <c r="B4418" s="6" t="s">
        <v>4377</v>
      </c>
    </row>
    <row r="4419" spans="1:2" x14ac:dyDescent="0.3">
      <c r="A4419" s="7" t="str">
        <f>HYPERLINK("http://www.eatonpowersource.com/products/configure/industrial%20valves/details/02-352483","02-352483")</f>
        <v>02-352483</v>
      </c>
      <c r="B4419" s="8" t="s">
        <v>4378</v>
      </c>
    </row>
    <row r="4420" spans="1:2" x14ac:dyDescent="0.3">
      <c r="A4420" s="5" t="str">
        <f>HYPERLINK("http://www.eatonpowersource.com/products/configure/industrial%20valves/details/02-352489","02-352489")</f>
        <v>02-352489</v>
      </c>
      <c r="B4420" s="6" t="s">
        <v>4379</v>
      </c>
    </row>
    <row r="4421" spans="1:2" x14ac:dyDescent="0.3">
      <c r="A4421" s="7" t="str">
        <f>HYPERLINK("http://www.eatonpowersource.com/products/configure/industrial%20valves/details/02-352495","02-352495")</f>
        <v>02-352495</v>
      </c>
      <c r="B4421" s="8" t="s">
        <v>4380</v>
      </c>
    </row>
    <row r="4422" spans="1:2" x14ac:dyDescent="0.3">
      <c r="A4422" s="5" t="str">
        <f>HYPERLINK("http://www.eatonpowersource.com/products/configure/industrial%20valves/details/02-352496","02-352496")</f>
        <v>02-352496</v>
      </c>
      <c r="B4422" s="6" t="s">
        <v>4381</v>
      </c>
    </row>
    <row r="4423" spans="1:2" x14ac:dyDescent="0.3">
      <c r="A4423" s="7" t="str">
        <f>HYPERLINK("http://www.eatonpowersource.com/products/configure/industrial%20valves/details/02-352509","02-352509")</f>
        <v>02-352509</v>
      </c>
      <c r="B4423" s="8" t="s">
        <v>4382</v>
      </c>
    </row>
    <row r="4424" spans="1:2" x14ac:dyDescent="0.3">
      <c r="A4424" s="5" t="str">
        <f>HYPERLINK("http://www.eatonpowersource.com/products/configure/industrial%20valves/details/02-352513","02-352513")</f>
        <v>02-352513</v>
      </c>
      <c r="B4424" s="6" t="s">
        <v>4383</v>
      </c>
    </row>
    <row r="4425" spans="1:2" x14ac:dyDescent="0.3">
      <c r="A4425" s="7" t="str">
        <f>HYPERLINK("http://www.eatonpowersource.com/products/configure/industrial%20valves/details/02-352514","02-352514")</f>
        <v>02-352514</v>
      </c>
      <c r="B4425" s="8" t="s">
        <v>4384</v>
      </c>
    </row>
    <row r="4426" spans="1:2" x14ac:dyDescent="0.3">
      <c r="A4426" s="5" t="str">
        <f>HYPERLINK("http://www.eatonpowersource.com/products/configure/industrial%20valves/details/02-352515","02-352515")</f>
        <v>02-352515</v>
      </c>
      <c r="B4426" s="6" t="s">
        <v>4385</v>
      </c>
    </row>
    <row r="4427" spans="1:2" x14ac:dyDescent="0.3">
      <c r="A4427" s="7" t="str">
        <f>HYPERLINK("http://www.eatonpowersource.com/products/configure/industrial%20valves/details/02-352516","02-352516")</f>
        <v>02-352516</v>
      </c>
      <c r="B4427" s="8" t="s">
        <v>4386</v>
      </c>
    </row>
    <row r="4428" spans="1:2" x14ac:dyDescent="0.3">
      <c r="A4428" s="5" t="str">
        <f>HYPERLINK("http://www.eatonpowersource.com/products/configure/industrial%20valves/details/02-352527","02-352527")</f>
        <v>02-352527</v>
      </c>
      <c r="B4428" s="6" t="s">
        <v>4387</v>
      </c>
    </row>
    <row r="4429" spans="1:2" x14ac:dyDescent="0.3">
      <c r="A4429" s="7" t="str">
        <f>HYPERLINK("http://www.eatonpowersource.com/products/configure/industrial%20valves/details/02-352528","02-352528")</f>
        <v>02-352528</v>
      </c>
      <c r="B4429" s="8" t="s">
        <v>4388</v>
      </c>
    </row>
    <row r="4430" spans="1:2" x14ac:dyDescent="0.3">
      <c r="A4430" s="5" t="str">
        <f>HYPERLINK("http://www.eatonpowersource.com/products/configure/industrial%20valves/details/02-352540","02-352540")</f>
        <v>02-352540</v>
      </c>
      <c r="B4430" s="6" t="s">
        <v>4389</v>
      </c>
    </row>
    <row r="4431" spans="1:2" x14ac:dyDescent="0.3">
      <c r="A4431" s="7" t="str">
        <f>HYPERLINK("http://www.eatonpowersource.com/products/configure/industrial%20valves/details/02-352552","02-352552")</f>
        <v>02-352552</v>
      </c>
      <c r="B4431" s="8" t="s">
        <v>4390</v>
      </c>
    </row>
    <row r="4432" spans="1:2" x14ac:dyDescent="0.3">
      <c r="A4432" s="5" t="str">
        <f>HYPERLINK("http://www.eatonpowersource.com/products/configure/industrial%20valves/details/02-352553","02-352553")</f>
        <v>02-352553</v>
      </c>
      <c r="B4432" s="6" t="s">
        <v>4391</v>
      </c>
    </row>
    <row r="4433" spans="1:2" x14ac:dyDescent="0.3">
      <c r="A4433" s="7" t="str">
        <f>HYPERLINK("http://www.eatonpowersource.com/products/configure/industrial%20valves/details/02-352554","02-352554")</f>
        <v>02-352554</v>
      </c>
      <c r="B4433" s="8" t="s">
        <v>4392</v>
      </c>
    </row>
    <row r="4434" spans="1:2" x14ac:dyDescent="0.3">
      <c r="A4434" s="5" t="str">
        <f>HYPERLINK("http://www.eatonpowersource.com/products/configure/industrial%20valves/details/02-352555","02-352555")</f>
        <v>02-352555</v>
      </c>
      <c r="B4434" s="6" t="s">
        <v>4393</v>
      </c>
    </row>
    <row r="4435" spans="1:2" x14ac:dyDescent="0.3">
      <c r="A4435" s="7" t="str">
        <f>HYPERLINK("http://www.eatonpowersource.com/products/configure/industrial%20valves/details/02-352597","02-352597")</f>
        <v>02-352597</v>
      </c>
      <c r="B4435" s="8" t="s">
        <v>4394</v>
      </c>
    </row>
    <row r="4436" spans="1:2" x14ac:dyDescent="0.3">
      <c r="A4436" s="5" t="str">
        <f>HYPERLINK("http://www.eatonpowersource.com/products/configure/industrial%20valves/details/02-352598","02-352598")</f>
        <v>02-352598</v>
      </c>
      <c r="B4436" s="6" t="s">
        <v>4395</v>
      </c>
    </row>
    <row r="4437" spans="1:2" x14ac:dyDescent="0.3">
      <c r="A4437" s="7" t="str">
        <f>HYPERLINK("http://www.eatonpowersource.com/products/configure/industrial%20valves/details/02-352601","02-352601")</f>
        <v>02-352601</v>
      </c>
      <c r="B4437" s="8" t="s">
        <v>4396</v>
      </c>
    </row>
    <row r="4438" spans="1:2" x14ac:dyDescent="0.3">
      <c r="A4438" s="5" t="str">
        <f>HYPERLINK("http://www.eatonpowersource.com/products/configure/industrial%20valves/details/02-352602","02-352602")</f>
        <v>02-352602</v>
      </c>
      <c r="B4438" s="6" t="s">
        <v>4397</v>
      </c>
    </row>
    <row r="4439" spans="1:2" x14ac:dyDescent="0.3">
      <c r="A4439" s="7" t="str">
        <f>HYPERLINK("http://www.eatonpowersource.com/products/configure/industrial%20valves/details/02-352603","02-352603")</f>
        <v>02-352603</v>
      </c>
      <c r="B4439" s="8" t="s">
        <v>4398</v>
      </c>
    </row>
    <row r="4440" spans="1:2" x14ac:dyDescent="0.3">
      <c r="A4440" s="5" t="str">
        <f>HYPERLINK("http://www.eatonpowersource.com/products/configure/industrial%20valves/details/02-352605","02-352605")</f>
        <v>02-352605</v>
      </c>
      <c r="B4440" s="6" t="s">
        <v>4399</v>
      </c>
    </row>
    <row r="4441" spans="1:2" x14ac:dyDescent="0.3">
      <c r="A4441" s="7" t="str">
        <f>HYPERLINK("http://www.eatonpowersource.com/products/configure/industrial%20valves/details/02-352606","02-352606")</f>
        <v>02-352606</v>
      </c>
      <c r="B4441" s="8" t="s">
        <v>4400</v>
      </c>
    </row>
    <row r="4442" spans="1:2" x14ac:dyDescent="0.3">
      <c r="A4442" s="5" t="str">
        <f>HYPERLINK("http://www.eatonpowersource.com/products/configure/industrial%20valves/details/02-352607","02-352607")</f>
        <v>02-352607</v>
      </c>
      <c r="B4442" s="6" t="s">
        <v>4401</v>
      </c>
    </row>
    <row r="4443" spans="1:2" x14ac:dyDescent="0.3">
      <c r="A4443" s="7" t="str">
        <f>HYPERLINK("http://www.eatonpowersource.com/products/configure/industrial%20valves/details/02-352608","02-352608")</f>
        <v>02-352608</v>
      </c>
      <c r="B4443" s="8" t="s">
        <v>4402</v>
      </c>
    </row>
    <row r="4444" spans="1:2" x14ac:dyDescent="0.3">
      <c r="A4444" s="5" t="str">
        <f>HYPERLINK("http://www.eatonpowersource.com/products/configure/industrial%20valves/details/02-352609","02-352609")</f>
        <v>02-352609</v>
      </c>
      <c r="B4444" s="6" t="s">
        <v>4403</v>
      </c>
    </row>
    <row r="4445" spans="1:2" x14ac:dyDescent="0.3">
      <c r="A4445" s="7" t="str">
        <f>HYPERLINK("http://www.eatonpowersource.com/products/configure/industrial%20valves/details/02-352610","02-352610")</f>
        <v>02-352610</v>
      </c>
      <c r="B4445" s="8" t="s">
        <v>4404</v>
      </c>
    </row>
    <row r="4446" spans="1:2" x14ac:dyDescent="0.3">
      <c r="A4446" s="5" t="str">
        <f>HYPERLINK("http://www.eatonpowersource.com/products/configure/industrial%20valves/details/02-352614","02-352614")</f>
        <v>02-352614</v>
      </c>
      <c r="B4446" s="6" t="s">
        <v>4405</v>
      </c>
    </row>
    <row r="4447" spans="1:2" x14ac:dyDescent="0.3">
      <c r="A4447" s="7" t="str">
        <f>HYPERLINK("http://www.eatonpowersource.com/products/configure/industrial%20valves/details/02-352641","02-352641")</f>
        <v>02-352641</v>
      </c>
      <c r="B4447" s="8" t="s">
        <v>4406</v>
      </c>
    </row>
    <row r="4448" spans="1:2" x14ac:dyDescent="0.3">
      <c r="A4448" s="5" t="str">
        <f>HYPERLINK("http://www.eatonpowersource.com/products/configure/industrial%20valves/details/02-352653","02-352653")</f>
        <v>02-352653</v>
      </c>
      <c r="B4448" s="6" t="s">
        <v>4407</v>
      </c>
    </row>
    <row r="4449" spans="1:2" x14ac:dyDescent="0.3">
      <c r="A4449" s="7" t="str">
        <f>HYPERLINK("http://www.eatonpowersource.com/products/configure/industrial%20valves/details/02-352654","02-352654")</f>
        <v>02-352654</v>
      </c>
      <c r="B4449" s="8" t="s">
        <v>4408</v>
      </c>
    </row>
    <row r="4450" spans="1:2" x14ac:dyDescent="0.3">
      <c r="A4450" s="5" t="str">
        <f>HYPERLINK("http://www.eatonpowersource.com/products/configure/industrial%20valves/details/02-352723","02-352723")</f>
        <v>02-352723</v>
      </c>
      <c r="B4450" s="6" t="s">
        <v>4409</v>
      </c>
    </row>
    <row r="4451" spans="1:2" x14ac:dyDescent="0.3">
      <c r="A4451" s="7" t="str">
        <f>HYPERLINK("http://www.eatonpowersource.com/products/configure/industrial%20valves/details/02-352733","02-352733")</f>
        <v>02-352733</v>
      </c>
      <c r="B4451" s="8" t="s">
        <v>4410</v>
      </c>
    </row>
    <row r="4452" spans="1:2" x14ac:dyDescent="0.3">
      <c r="A4452" s="5" t="str">
        <f>HYPERLINK("http://www.eatonpowersource.com/products/configure/industrial%20valves/details/02-352751","02-352751")</f>
        <v>02-352751</v>
      </c>
      <c r="B4452" s="6" t="s">
        <v>4411</v>
      </c>
    </row>
    <row r="4453" spans="1:2" x14ac:dyDescent="0.3">
      <c r="A4453" s="7" t="str">
        <f>HYPERLINK("http://www.eatonpowersource.com/products/configure/industrial%20valves/details/02-352837","02-352837")</f>
        <v>02-352837</v>
      </c>
      <c r="B4453" s="8" t="s">
        <v>4412</v>
      </c>
    </row>
    <row r="4454" spans="1:2" x14ac:dyDescent="0.3">
      <c r="A4454" s="5" t="str">
        <f>HYPERLINK("http://www.eatonpowersource.com/products/configure/industrial%20valves/details/02-352838","02-352838")</f>
        <v>02-352838</v>
      </c>
      <c r="B4454" s="6" t="s">
        <v>4413</v>
      </c>
    </row>
    <row r="4455" spans="1:2" x14ac:dyDescent="0.3">
      <c r="A4455" s="7" t="str">
        <f>HYPERLINK("http://www.eatonpowersource.com/products/configure/industrial%20valves/details/02-352839","02-352839")</f>
        <v>02-352839</v>
      </c>
      <c r="B4455" s="8" t="s">
        <v>4414</v>
      </c>
    </row>
    <row r="4456" spans="1:2" x14ac:dyDescent="0.3">
      <c r="A4456" s="5" t="str">
        <f>HYPERLINK("http://www.eatonpowersource.com/products/configure/industrial%20valves/details/02-352840","02-352840")</f>
        <v>02-352840</v>
      </c>
      <c r="B4456" s="6" t="s">
        <v>4415</v>
      </c>
    </row>
    <row r="4457" spans="1:2" x14ac:dyDescent="0.3">
      <c r="A4457" s="7" t="str">
        <f>HYPERLINK("http://www.eatonpowersource.com/products/configure/industrial%20valves/details/02-352841","02-352841")</f>
        <v>02-352841</v>
      </c>
      <c r="B4457" s="8" t="s">
        <v>4416</v>
      </c>
    </row>
    <row r="4458" spans="1:2" x14ac:dyDescent="0.3">
      <c r="A4458" s="5" t="str">
        <f>HYPERLINK("http://www.eatonpowersource.com/products/configure/industrial%20valves/details/02-352842","02-352842")</f>
        <v>02-352842</v>
      </c>
      <c r="B4458" s="6" t="s">
        <v>4417</v>
      </c>
    </row>
    <row r="4459" spans="1:2" x14ac:dyDescent="0.3">
      <c r="A4459" s="7" t="str">
        <f>HYPERLINK("http://www.eatonpowersource.com/products/configure/industrial%20valves/details/02-352843","02-352843")</f>
        <v>02-352843</v>
      </c>
      <c r="B4459" s="8" t="s">
        <v>4418</v>
      </c>
    </row>
    <row r="4460" spans="1:2" x14ac:dyDescent="0.3">
      <c r="A4460" s="5" t="str">
        <f>HYPERLINK("http://www.eatonpowersource.com/products/configure/industrial%20valves/details/02-352844","02-352844")</f>
        <v>02-352844</v>
      </c>
      <c r="B4460" s="6" t="s">
        <v>4419</v>
      </c>
    </row>
    <row r="4461" spans="1:2" x14ac:dyDescent="0.3">
      <c r="A4461" s="7" t="str">
        <f>HYPERLINK("http://www.eatonpowersource.com/products/configure/industrial%20valves/details/02-352845","02-352845")</f>
        <v>02-352845</v>
      </c>
      <c r="B4461" s="8" t="s">
        <v>4420</v>
      </c>
    </row>
    <row r="4462" spans="1:2" x14ac:dyDescent="0.3">
      <c r="A4462" s="5" t="str">
        <f>HYPERLINK("http://www.eatonpowersource.com/products/configure/industrial%20valves/details/02-352846","02-352846")</f>
        <v>02-352846</v>
      </c>
      <c r="B4462" s="6" t="s">
        <v>4421</v>
      </c>
    </row>
    <row r="4463" spans="1:2" x14ac:dyDescent="0.3">
      <c r="A4463" s="7" t="str">
        <f>HYPERLINK("http://www.eatonpowersource.com/products/configure/industrial%20valves/details/02-352946","02-352946")</f>
        <v>02-352946</v>
      </c>
      <c r="B4463" s="8" t="s">
        <v>4422</v>
      </c>
    </row>
    <row r="4464" spans="1:2" x14ac:dyDescent="0.3">
      <c r="A4464" s="5" t="str">
        <f>HYPERLINK("http://www.eatonpowersource.com/products/configure/industrial%20valves/details/02-352947","02-352947")</f>
        <v>02-352947</v>
      </c>
      <c r="B4464" s="6" t="s">
        <v>4423</v>
      </c>
    </row>
    <row r="4465" spans="1:2" x14ac:dyDescent="0.3">
      <c r="A4465" s="7" t="str">
        <f>HYPERLINK("http://www.eatonpowersource.com/products/configure/industrial%20valves/details/02-352950","02-352950")</f>
        <v>02-352950</v>
      </c>
      <c r="B4465" s="8" t="s">
        <v>4424</v>
      </c>
    </row>
    <row r="4466" spans="1:2" x14ac:dyDescent="0.3">
      <c r="A4466" s="5" t="str">
        <f>HYPERLINK("http://www.eatonpowersource.com/products/configure/industrial%20valves/details/02-353113","02-353113")</f>
        <v>02-353113</v>
      </c>
      <c r="B4466" s="6" t="s">
        <v>4425</v>
      </c>
    </row>
    <row r="4467" spans="1:2" x14ac:dyDescent="0.3">
      <c r="A4467" s="7" t="str">
        <f>HYPERLINK("http://www.eatonpowersource.com/products/configure/industrial%20valves/details/02-353116","02-353116")</f>
        <v>02-353116</v>
      </c>
      <c r="B4467" s="8" t="s">
        <v>4426</v>
      </c>
    </row>
    <row r="4468" spans="1:2" x14ac:dyDescent="0.3">
      <c r="A4468" s="5" t="str">
        <f>HYPERLINK("http://www.eatonpowersource.com/products/configure/industrial%20valves/details/02-353131","02-353131")</f>
        <v>02-353131</v>
      </c>
      <c r="B4468" s="6" t="s">
        <v>4427</v>
      </c>
    </row>
    <row r="4469" spans="1:2" x14ac:dyDescent="0.3">
      <c r="A4469" s="7" t="str">
        <f>HYPERLINK("http://www.eatonpowersource.com/products/configure/industrial%20valves/details/02-353132","02-353132")</f>
        <v>02-353132</v>
      </c>
      <c r="B4469" s="8" t="s">
        <v>4428</v>
      </c>
    </row>
    <row r="4470" spans="1:2" x14ac:dyDescent="0.3">
      <c r="A4470" s="5" t="str">
        <f>HYPERLINK("http://www.eatonpowersource.com/products/configure/industrial%20valves/details/02-353140","02-353140")</f>
        <v>02-353140</v>
      </c>
      <c r="B4470" s="6" t="s">
        <v>4429</v>
      </c>
    </row>
    <row r="4471" spans="1:2" x14ac:dyDescent="0.3">
      <c r="A4471" s="7" t="str">
        <f>HYPERLINK("http://www.eatonpowersource.com/products/configure/industrial%20valves/details/02-353183","02-353183")</f>
        <v>02-353183</v>
      </c>
      <c r="B4471" s="8" t="s">
        <v>4430</v>
      </c>
    </row>
    <row r="4472" spans="1:2" x14ac:dyDescent="0.3">
      <c r="A4472" s="5" t="str">
        <f>HYPERLINK("http://www.eatonpowersource.com/products/configure/industrial%20valves/details/02-353194","02-353194")</f>
        <v>02-353194</v>
      </c>
      <c r="B4472" s="6" t="s">
        <v>4431</v>
      </c>
    </row>
    <row r="4473" spans="1:2" x14ac:dyDescent="0.3">
      <c r="A4473" s="7" t="str">
        <f>HYPERLINK("http://www.eatonpowersource.com/products/configure/industrial%20valves/details/02-353195","02-353195")</f>
        <v>02-353195</v>
      </c>
      <c r="B4473" s="8" t="s">
        <v>4432</v>
      </c>
    </row>
    <row r="4474" spans="1:2" x14ac:dyDescent="0.3">
      <c r="A4474" s="5" t="str">
        <f>HYPERLINK("http://www.eatonpowersource.com/products/configure/industrial%20valves/details/02-353203","02-353203")</f>
        <v>02-353203</v>
      </c>
      <c r="B4474" s="6" t="s">
        <v>4433</v>
      </c>
    </row>
    <row r="4475" spans="1:2" x14ac:dyDescent="0.3">
      <c r="A4475" s="7" t="str">
        <f>HYPERLINK("http://www.eatonpowersource.com/products/configure/industrial%20valves/details/02-353212","02-353212")</f>
        <v>02-353212</v>
      </c>
      <c r="B4475" s="8" t="s">
        <v>4434</v>
      </c>
    </row>
    <row r="4476" spans="1:2" x14ac:dyDescent="0.3">
      <c r="A4476" s="5" t="str">
        <f>HYPERLINK("http://www.eatonpowersource.com/products/configure/industrial%20valves/details/02-353232","02-353232")</f>
        <v>02-353232</v>
      </c>
      <c r="B4476" s="6" t="s">
        <v>4435</v>
      </c>
    </row>
    <row r="4477" spans="1:2" x14ac:dyDescent="0.3">
      <c r="A4477" s="7" t="str">
        <f>HYPERLINK("http://www.eatonpowersource.com/products/configure/industrial%20valves/details/02-353248","02-353248")</f>
        <v>02-353248</v>
      </c>
      <c r="B4477" s="8" t="s">
        <v>4436</v>
      </c>
    </row>
    <row r="4478" spans="1:2" x14ac:dyDescent="0.3">
      <c r="A4478" s="5" t="str">
        <f>HYPERLINK("http://www.eatonpowersource.com/products/configure/industrial%20valves/details/02-353252","02-353252")</f>
        <v>02-353252</v>
      </c>
      <c r="B4478" s="6" t="s">
        <v>4437</v>
      </c>
    </row>
    <row r="4479" spans="1:2" x14ac:dyDescent="0.3">
      <c r="A4479" s="7" t="str">
        <f>HYPERLINK("http://www.eatonpowersource.com/products/configure/industrial%20valves/details/02-353253","02-353253")</f>
        <v>02-353253</v>
      </c>
      <c r="B4479" s="8" t="s">
        <v>4438</v>
      </c>
    </row>
    <row r="4480" spans="1:2" x14ac:dyDescent="0.3">
      <c r="A4480" s="5" t="str">
        <f>HYPERLINK("http://www.eatonpowersource.com/products/configure/industrial%20valves/details/02-353258","02-353258")</f>
        <v>02-353258</v>
      </c>
      <c r="B4480" s="6" t="s">
        <v>4439</v>
      </c>
    </row>
    <row r="4481" spans="1:2" x14ac:dyDescent="0.3">
      <c r="A4481" s="7" t="str">
        <f>HYPERLINK("http://www.eatonpowersource.com/products/configure/industrial%20valves/details/02-353264","02-353264")</f>
        <v>02-353264</v>
      </c>
      <c r="B4481" s="8" t="s">
        <v>4440</v>
      </c>
    </row>
    <row r="4482" spans="1:2" x14ac:dyDescent="0.3">
      <c r="A4482" s="5" t="str">
        <f>HYPERLINK("http://www.eatonpowersource.com/products/configure/industrial%20valves/details/02-353279","02-353279")</f>
        <v>02-353279</v>
      </c>
      <c r="B4482" s="6" t="s">
        <v>4441</v>
      </c>
    </row>
    <row r="4483" spans="1:2" x14ac:dyDescent="0.3">
      <c r="A4483" s="7" t="str">
        <f>HYPERLINK("http://www.eatonpowersource.com/products/configure/industrial%20valves/details/02-353280","02-353280")</f>
        <v>02-353280</v>
      </c>
      <c r="B4483" s="8" t="s">
        <v>4442</v>
      </c>
    </row>
    <row r="4484" spans="1:2" x14ac:dyDescent="0.3">
      <c r="A4484" s="5" t="str">
        <f>HYPERLINK("http://www.eatonpowersource.com/products/configure/industrial%20valves/details/02-353307","02-353307")</f>
        <v>02-353307</v>
      </c>
      <c r="B4484" s="6" t="s">
        <v>4443</v>
      </c>
    </row>
    <row r="4485" spans="1:2" x14ac:dyDescent="0.3">
      <c r="A4485" s="7" t="str">
        <f>HYPERLINK("http://www.eatonpowersource.com/products/configure/industrial%20valves/details/02-353313","02-353313")</f>
        <v>02-353313</v>
      </c>
      <c r="B4485" s="8" t="s">
        <v>4444</v>
      </c>
    </row>
    <row r="4486" spans="1:2" x14ac:dyDescent="0.3">
      <c r="A4486" s="5" t="str">
        <f>HYPERLINK("http://www.eatonpowersource.com/products/configure/industrial%20valves/details/02-353317","02-353317")</f>
        <v>02-353317</v>
      </c>
      <c r="B4486" s="6" t="s">
        <v>4445</v>
      </c>
    </row>
    <row r="4487" spans="1:2" x14ac:dyDescent="0.3">
      <c r="A4487" s="7" t="str">
        <f>HYPERLINK("http://www.eatonpowersource.com/products/configure/industrial%20valves/details/02-353346","02-353346")</f>
        <v>02-353346</v>
      </c>
      <c r="B4487" s="8" t="s">
        <v>4446</v>
      </c>
    </row>
    <row r="4488" spans="1:2" x14ac:dyDescent="0.3">
      <c r="A4488" s="5" t="str">
        <f>HYPERLINK("http://www.eatonpowersource.com/products/configure/industrial%20valves/details/02-353353","02-353353")</f>
        <v>02-353353</v>
      </c>
      <c r="B4488" s="6" t="s">
        <v>4447</v>
      </c>
    </row>
    <row r="4489" spans="1:2" x14ac:dyDescent="0.3">
      <c r="A4489" s="7" t="str">
        <f>HYPERLINK("http://www.eatonpowersource.com/products/configure/industrial%20valves/details/02-353362","02-353362")</f>
        <v>02-353362</v>
      </c>
      <c r="B4489" s="8" t="s">
        <v>4448</v>
      </c>
    </row>
    <row r="4490" spans="1:2" x14ac:dyDescent="0.3">
      <c r="A4490" s="5" t="str">
        <f>HYPERLINK("http://www.eatonpowersource.com/products/configure/industrial%20valves/details/02-353377","02-353377")</f>
        <v>02-353377</v>
      </c>
      <c r="B4490" s="6" t="s">
        <v>4449</v>
      </c>
    </row>
    <row r="4491" spans="1:2" x14ac:dyDescent="0.3">
      <c r="A4491" s="7" t="str">
        <f>HYPERLINK("http://www.eatonpowersource.com/products/configure/industrial%20valves/details/02-353379","02-353379")</f>
        <v>02-353379</v>
      </c>
      <c r="B4491" s="8" t="s">
        <v>4450</v>
      </c>
    </row>
    <row r="4492" spans="1:2" x14ac:dyDescent="0.3">
      <c r="A4492" s="5" t="str">
        <f>HYPERLINK("http://www.eatonpowersource.com/products/configure/industrial%20valves/details/02-353380","02-353380")</f>
        <v>02-353380</v>
      </c>
      <c r="B4492" s="6" t="s">
        <v>4451</v>
      </c>
    </row>
    <row r="4493" spans="1:2" x14ac:dyDescent="0.3">
      <c r="A4493" s="7" t="str">
        <f>HYPERLINK("http://www.eatonpowersource.com/products/configure/industrial%20valves/details/02-353388","02-353388")</f>
        <v>02-353388</v>
      </c>
      <c r="B4493" s="8" t="s">
        <v>4452</v>
      </c>
    </row>
    <row r="4494" spans="1:2" x14ac:dyDescent="0.3">
      <c r="A4494" s="5" t="str">
        <f>HYPERLINK("http://www.eatonpowersource.com/products/configure/industrial%20valves/details/02-353393","02-353393")</f>
        <v>02-353393</v>
      </c>
      <c r="B4494" s="6" t="s">
        <v>4453</v>
      </c>
    </row>
    <row r="4495" spans="1:2" x14ac:dyDescent="0.3">
      <c r="A4495" s="7" t="str">
        <f>HYPERLINK("http://www.eatonpowersource.com/products/configure/industrial%20valves/details/02-353396","02-353396")</f>
        <v>02-353396</v>
      </c>
      <c r="B4495" s="8" t="s">
        <v>4454</v>
      </c>
    </row>
    <row r="4496" spans="1:2" x14ac:dyDescent="0.3">
      <c r="A4496" s="5" t="str">
        <f>HYPERLINK("http://www.eatonpowersource.com/products/configure/industrial%20valves/details/02-353397","02-353397")</f>
        <v>02-353397</v>
      </c>
      <c r="B4496" s="6" t="s">
        <v>4455</v>
      </c>
    </row>
    <row r="4497" spans="1:2" x14ac:dyDescent="0.3">
      <c r="A4497" s="7" t="str">
        <f>HYPERLINK("http://www.eatonpowersource.com/products/configure/industrial%20valves/details/02-353416","02-353416")</f>
        <v>02-353416</v>
      </c>
      <c r="B4497" s="8" t="s">
        <v>4456</v>
      </c>
    </row>
    <row r="4498" spans="1:2" x14ac:dyDescent="0.3">
      <c r="A4498" s="5" t="str">
        <f>HYPERLINK("http://www.eatonpowersource.com/products/configure/industrial%20valves/details/02-353418","02-353418")</f>
        <v>02-353418</v>
      </c>
      <c r="B4498" s="6" t="s">
        <v>4457</v>
      </c>
    </row>
    <row r="4499" spans="1:2" x14ac:dyDescent="0.3">
      <c r="A4499" s="7" t="str">
        <f>HYPERLINK("http://www.eatonpowersource.com/products/configure/industrial%20valves/details/02-353439","02-353439")</f>
        <v>02-353439</v>
      </c>
      <c r="B4499" s="8" t="s">
        <v>4458</v>
      </c>
    </row>
    <row r="4500" spans="1:2" x14ac:dyDescent="0.3">
      <c r="A4500" s="5" t="str">
        <f>HYPERLINK("http://www.eatonpowersource.com/products/configure/industrial%20valves/details/02-353483","02-353483")</f>
        <v>02-353483</v>
      </c>
      <c r="B4500" s="6" t="s">
        <v>4459</v>
      </c>
    </row>
    <row r="4501" spans="1:2" x14ac:dyDescent="0.3">
      <c r="A4501" s="7" t="str">
        <f>HYPERLINK("http://www.eatonpowersource.com/products/configure/industrial%20valves/details/02-353517","02-353517")</f>
        <v>02-353517</v>
      </c>
      <c r="B4501" s="8" t="s">
        <v>4460</v>
      </c>
    </row>
    <row r="4502" spans="1:2" x14ac:dyDescent="0.3">
      <c r="A4502" s="5" t="str">
        <f>HYPERLINK("http://www.eatonpowersource.com/products/configure/industrial%20valves/details/02-353531","02-353531")</f>
        <v>02-353531</v>
      </c>
      <c r="B4502" s="6" t="s">
        <v>4461</v>
      </c>
    </row>
    <row r="4503" spans="1:2" x14ac:dyDescent="0.3">
      <c r="A4503" s="7" t="str">
        <f>HYPERLINK("http://www.eatonpowersource.com/products/configure/industrial%20valves/details/02-353532","02-353532")</f>
        <v>02-353532</v>
      </c>
      <c r="B4503" s="8" t="s">
        <v>4462</v>
      </c>
    </row>
    <row r="4504" spans="1:2" x14ac:dyDescent="0.3">
      <c r="A4504" s="5" t="str">
        <f>HYPERLINK("http://www.eatonpowersource.com/products/configure/industrial%20valves/details/02-353537","02-353537")</f>
        <v>02-353537</v>
      </c>
      <c r="B4504" s="6" t="s">
        <v>4463</v>
      </c>
    </row>
    <row r="4505" spans="1:2" x14ac:dyDescent="0.3">
      <c r="A4505" s="7" t="str">
        <f>HYPERLINK("http://www.eatonpowersource.com/products/configure/industrial%20valves/details/02-353546","02-353546")</f>
        <v>02-353546</v>
      </c>
      <c r="B4505" s="8" t="s">
        <v>4464</v>
      </c>
    </row>
    <row r="4506" spans="1:2" x14ac:dyDescent="0.3">
      <c r="A4506" s="5" t="str">
        <f>HYPERLINK("http://www.eatonpowersource.com/products/configure/industrial%20valves/details/02-353571","02-353571")</f>
        <v>02-353571</v>
      </c>
      <c r="B4506" s="6" t="s">
        <v>4465</v>
      </c>
    </row>
    <row r="4507" spans="1:2" x14ac:dyDescent="0.3">
      <c r="A4507" s="7" t="str">
        <f>HYPERLINK("http://www.eatonpowersource.com/products/configure/industrial%20valves/details/02-353610","02-353610")</f>
        <v>02-353610</v>
      </c>
      <c r="B4507" s="8" t="s">
        <v>4466</v>
      </c>
    </row>
    <row r="4508" spans="1:2" x14ac:dyDescent="0.3">
      <c r="A4508" s="5" t="str">
        <f>HYPERLINK("http://www.eatonpowersource.com/products/configure/industrial%20valves/details/02-353611","02-353611")</f>
        <v>02-353611</v>
      </c>
      <c r="B4508" s="6" t="s">
        <v>4467</v>
      </c>
    </row>
    <row r="4509" spans="1:2" x14ac:dyDescent="0.3">
      <c r="A4509" s="7" t="str">
        <f>HYPERLINK("http://www.eatonpowersource.com/products/configure/industrial%20valves/details/02-353616","02-353616")</f>
        <v>02-353616</v>
      </c>
      <c r="B4509" s="8" t="s">
        <v>4468</v>
      </c>
    </row>
    <row r="4510" spans="1:2" x14ac:dyDescent="0.3">
      <c r="A4510" s="5" t="str">
        <f>HYPERLINK("http://www.eatonpowersource.com/products/configure/industrial%20valves/details/02-353631","02-353631")</f>
        <v>02-353631</v>
      </c>
      <c r="B4510" s="6" t="s">
        <v>4469</v>
      </c>
    </row>
    <row r="4511" spans="1:2" x14ac:dyDescent="0.3">
      <c r="A4511" s="7" t="str">
        <f>HYPERLINK("http://www.eatonpowersource.com/products/configure/industrial%20valves/details/02-353632","02-353632")</f>
        <v>02-353632</v>
      </c>
      <c r="B4511" s="8" t="s">
        <v>4470</v>
      </c>
    </row>
    <row r="4512" spans="1:2" x14ac:dyDescent="0.3">
      <c r="A4512" s="5" t="str">
        <f>HYPERLINK("http://www.eatonpowersource.com/products/configure/industrial%20valves/details/02-353633","02-353633")</f>
        <v>02-353633</v>
      </c>
      <c r="B4512" s="6" t="s">
        <v>4471</v>
      </c>
    </row>
    <row r="4513" spans="1:2" x14ac:dyDescent="0.3">
      <c r="A4513" s="7" t="str">
        <f>HYPERLINK("http://www.eatonpowersource.com/products/configure/industrial%20valves/details/02-353636","02-353636")</f>
        <v>02-353636</v>
      </c>
      <c r="B4513" s="8" t="s">
        <v>4472</v>
      </c>
    </row>
    <row r="4514" spans="1:2" x14ac:dyDescent="0.3">
      <c r="A4514" s="5" t="str">
        <f>HYPERLINK("http://www.eatonpowersource.com/products/configure/industrial%20valves/details/02-353637","02-353637")</f>
        <v>02-353637</v>
      </c>
      <c r="B4514" s="6" t="s">
        <v>4473</v>
      </c>
    </row>
    <row r="4515" spans="1:2" x14ac:dyDescent="0.3">
      <c r="A4515" s="7" t="str">
        <f>HYPERLINK("http://www.eatonpowersource.com/products/configure/industrial%20valves/details/02-353638","02-353638")</f>
        <v>02-353638</v>
      </c>
      <c r="B4515" s="8" t="s">
        <v>4474</v>
      </c>
    </row>
    <row r="4516" spans="1:2" x14ac:dyDescent="0.3">
      <c r="A4516" s="5" t="str">
        <f>HYPERLINK("http://www.eatonpowersource.com/products/configure/industrial%20valves/details/02-353639","02-353639")</f>
        <v>02-353639</v>
      </c>
      <c r="B4516" s="6" t="s">
        <v>4475</v>
      </c>
    </row>
    <row r="4517" spans="1:2" x14ac:dyDescent="0.3">
      <c r="A4517" s="7" t="str">
        <f>HYPERLINK("http://www.eatonpowersource.com/products/configure/industrial%20valves/details/02-353665","02-353665")</f>
        <v>02-353665</v>
      </c>
      <c r="B4517" s="8" t="s">
        <v>4476</v>
      </c>
    </row>
    <row r="4518" spans="1:2" x14ac:dyDescent="0.3">
      <c r="A4518" s="5" t="str">
        <f>HYPERLINK("http://www.eatonpowersource.com/products/configure/industrial%20valves/details/02-353675","02-353675")</f>
        <v>02-353675</v>
      </c>
      <c r="B4518" s="6" t="s">
        <v>4477</v>
      </c>
    </row>
    <row r="4519" spans="1:2" x14ac:dyDescent="0.3">
      <c r="A4519" s="7" t="str">
        <f>HYPERLINK("http://www.eatonpowersource.com/products/configure/industrial%20valves/details/02-353708","02-353708")</f>
        <v>02-353708</v>
      </c>
      <c r="B4519" s="8" t="s">
        <v>4478</v>
      </c>
    </row>
    <row r="4520" spans="1:2" x14ac:dyDescent="0.3">
      <c r="A4520" s="5" t="str">
        <f>HYPERLINK("http://www.eatonpowersource.com/products/configure/industrial%20valves/details/02-353737","02-353737")</f>
        <v>02-353737</v>
      </c>
      <c r="B4520" s="6" t="s">
        <v>4479</v>
      </c>
    </row>
    <row r="4521" spans="1:2" x14ac:dyDescent="0.3">
      <c r="A4521" s="7" t="str">
        <f>HYPERLINK("http://www.eatonpowersource.com/products/configure/industrial%20valves/details/02-353751","02-353751")</f>
        <v>02-353751</v>
      </c>
      <c r="B4521" s="8" t="s">
        <v>4480</v>
      </c>
    </row>
    <row r="4522" spans="1:2" x14ac:dyDescent="0.3">
      <c r="A4522" s="5" t="str">
        <f>HYPERLINK("http://www.eatonpowersource.com/products/configure/industrial%20valves/details/02-353752","02-353752")</f>
        <v>02-353752</v>
      </c>
      <c r="B4522" s="6" t="s">
        <v>4481</v>
      </c>
    </row>
    <row r="4523" spans="1:2" x14ac:dyDescent="0.3">
      <c r="A4523" s="7" t="str">
        <f>HYPERLINK("http://www.eatonpowersource.com/products/configure/industrial%20valves/details/02-353754","02-353754")</f>
        <v>02-353754</v>
      </c>
      <c r="B4523" s="8" t="s">
        <v>4482</v>
      </c>
    </row>
    <row r="4524" spans="1:2" x14ac:dyDescent="0.3">
      <c r="A4524" s="5" t="str">
        <f>HYPERLINK("http://www.eatonpowersource.com/products/configure/industrial%20valves/details/02-353756","02-353756")</f>
        <v>02-353756</v>
      </c>
      <c r="B4524" s="6" t="s">
        <v>4483</v>
      </c>
    </row>
    <row r="4525" spans="1:2" x14ac:dyDescent="0.3">
      <c r="A4525" s="7" t="str">
        <f>HYPERLINK("http://www.eatonpowersource.com/products/configure/industrial%20valves/details/02-353757","02-353757")</f>
        <v>02-353757</v>
      </c>
      <c r="B4525" s="8" t="s">
        <v>4484</v>
      </c>
    </row>
    <row r="4526" spans="1:2" x14ac:dyDescent="0.3">
      <c r="A4526" s="5" t="str">
        <f>HYPERLINK("http://www.eatonpowersource.com/products/configure/industrial%20valves/details/02-353758","02-353758")</f>
        <v>02-353758</v>
      </c>
      <c r="B4526" s="6" t="s">
        <v>4485</v>
      </c>
    </row>
    <row r="4527" spans="1:2" x14ac:dyDescent="0.3">
      <c r="A4527" s="7" t="str">
        <f>HYPERLINK("http://www.eatonpowersource.com/products/configure/industrial%20valves/details/02-353759","02-353759")</f>
        <v>02-353759</v>
      </c>
      <c r="B4527" s="8" t="s">
        <v>4486</v>
      </c>
    </row>
    <row r="4528" spans="1:2" x14ac:dyDescent="0.3">
      <c r="A4528" s="5" t="str">
        <f>HYPERLINK("http://www.eatonpowersource.com/products/configure/industrial%20valves/details/02-353760","02-353760")</f>
        <v>02-353760</v>
      </c>
      <c r="B4528" s="6" t="s">
        <v>4487</v>
      </c>
    </row>
    <row r="4529" spans="1:2" x14ac:dyDescent="0.3">
      <c r="A4529" s="7" t="str">
        <f>HYPERLINK("http://www.eatonpowersource.com/products/configure/industrial%20valves/details/02-353761","02-353761")</f>
        <v>02-353761</v>
      </c>
      <c r="B4529" s="8" t="s">
        <v>4488</v>
      </c>
    </row>
    <row r="4530" spans="1:2" x14ac:dyDescent="0.3">
      <c r="A4530" s="5" t="str">
        <f>HYPERLINK("http://www.eatonpowersource.com/products/configure/industrial%20valves/details/02-353762","02-353762")</f>
        <v>02-353762</v>
      </c>
      <c r="B4530" s="6" t="s">
        <v>4489</v>
      </c>
    </row>
    <row r="4531" spans="1:2" x14ac:dyDescent="0.3">
      <c r="A4531" s="7" t="str">
        <f>HYPERLINK("http://www.eatonpowersource.com/products/configure/industrial%20valves/details/02-353763","02-353763")</f>
        <v>02-353763</v>
      </c>
      <c r="B4531" s="8" t="s">
        <v>4490</v>
      </c>
    </row>
    <row r="4532" spans="1:2" x14ac:dyDescent="0.3">
      <c r="A4532" s="5" t="str">
        <f>HYPERLINK("http://www.eatonpowersource.com/products/configure/industrial%20valves/details/02-353765","02-353765")</f>
        <v>02-353765</v>
      </c>
      <c r="B4532" s="6" t="s">
        <v>4491</v>
      </c>
    </row>
    <row r="4533" spans="1:2" x14ac:dyDescent="0.3">
      <c r="A4533" s="7" t="str">
        <f>HYPERLINK("http://www.eatonpowersource.com/products/configure/industrial%20valves/details/02-353766","02-353766")</f>
        <v>02-353766</v>
      </c>
      <c r="B4533" s="8" t="s">
        <v>4492</v>
      </c>
    </row>
    <row r="4534" spans="1:2" x14ac:dyDescent="0.3">
      <c r="A4534" s="5" t="str">
        <f>HYPERLINK("http://www.eatonpowersource.com/products/configure/industrial%20valves/details/02-353769","02-353769")</f>
        <v>02-353769</v>
      </c>
      <c r="B4534" s="6" t="s">
        <v>4493</v>
      </c>
    </row>
    <row r="4535" spans="1:2" x14ac:dyDescent="0.3">
      <c r="A4535" s="7" t="str">
        <f>HYPERLINK("http://www.eatonpowersource.com/products/configure/industrial%20valves/details/02-353771","02-353771")</f>
        <v>02-353771</v>
      </c>
      <c r="B4535" s="8" t="s">
        <v>4494</v>
      </c>
    </row>
    <row r="4536" spans="1:2" x14ac:dyDescent="0.3">
      <c r="A4536" s="5" t="str">
        <f>HYPERLINK("http://www.eatonpowersource.com/products/configure/industrial%20valves/details/02-353786","02-353786")</f>
        <v>02-353786</v>
      </c>
      <c r="B4536" s="6" t="s">
        <v>4495</v>
      </c>
    </row>
    <row r="4537" spans="1:2" x14ac:dyDescent="0.3">
      <c r="A4537" s="7" t="str">
        <f>HYPERLINK("http://www.eatonpowersource.com/products/configure/industrial%20valves/details/02-353787","02-353787")</f>
        <v>02-353787</v>
      </c>
      <c r="B4537" s="8" t="s">
        <v>4496</v>
      </c>
    </row>
    <row r="4538" spans="1:2" x14ac:dyDescent="0.3">
      <c r="A4538" s="5" t="str">
        <f>HYPERLINK("http://www.eatonpowersource.com/products/configure/industrial%20valves/details/02-353789","02-353789")</f>
        <v>02-353789</v>
      </c>
      <c r="B4538" s="6" t="s">
        <v>4497</v>
      </c>
    </row>
    <row r="4539" spans="1:2" x14ac:dyDescent="0.3">
      <c r="A4539" s="7" t="str">
        <f>HYPERLINK("http://www.eatonpowersource.com/products/configure/industrial%20valves/details/02-353790","02-353790")</f>
        <v>02-353790</v>
      </c>
      <c r="B4539" s="8" t="s">
        <v>4498</v>
      </c>
    </row>
    <row r="4540" spans="1:2" x14ac:dyDescent="0.3">
      <c r="A4540" s="5" t="str">
        <f>HYPERLINK("http://www.eatonpowersource.com/products/configure/industrial%20valves/details/02-353791","02-353791")</f>
        <v>02-353791</v>
      </c>
      <c r="B4540" s="6" t="s">
        <v>4499</v>
      </c>
    </row>
    <row r="4541" spans="1:2" x14ac:dyDescent="0.3">
      <c r="A4541" s="7" t="str">
        <f>HYPERLINK("http://www.eatonpowersource.com/products/configure/industrial%20valves/details/02-353826","02-353826")</f>
        <v>02-353826</v>
      </c>
      <c r="B4541" s="8" t="s">
        <v>4500</v>
      </c>
    </row>
    <row r="4542" spans="1:2" x14ac:dyDescent="0.3">
      <c r="A4542" s="5" t="str">
        <f>HYPERLINK("http://www.eatonpowersource.com/products/configure/industrial%20valves/details/02-353827","02-353827")</f>
        <v>02-353827</v>
      </c>
      <c r="B4542" s="6" t="s">
        <v>4501</v>
      </c>
    </row>
    <row r="4543" spans="1:2" x14ac:dyDescent="0.3">
      <c r="A4543" s="7" t="str">
        <f>HYPERLINK("http://www.eatonpowersource.com/products/configure/industrial%20valves/details/02-353828","02-353828")</f>
        <v>02-353828</v>
      </c>
      <c r="B4543" s="8" t="s">
        <v>4502</v>
      </c>
    </row>
    <row r="4544" spans="1:2" x14ac:dyDescent="0.3">
      <c r="A4544" s="5" t="str">
        <f>HYPERLINK("http://www.eatonpowersource.com/products/configure/industrial%20valves/details/02-353833","02-353833")</f>
        <v>02-353833</v>
      </c>
      <c r="B4544" s="6" t="s">
        <v>4503</v>
      </c>
    </row>
    <row r="4545" spans="1:2" x14ac:dyDescent="0.3">
      <c r="A4545" s="7" t="str">
        <f>HYPERLINK("http://www.eatonpowersource.com/products/configure/industrial%20valves/details/02-353862","02-353862")</f>
        <v>02-353862</v>
      </c>
      <c r="B4545" s="8" t="s">
        <v>4504</v>
      </c>
    </row>
    <row r="4546" spans="1:2" x14ac:dyDescent="0.3">
      <c r="A4546" s="5" t="str">
        <f>HYPERLINK("http://www.eatonpowersource.com/products/configure/industrial%20valves/details/02-353871","02-353871")</f>
        <v>02-353871</v>
      </c>
      <c r="B4546" s="6" t="s">
        <v>4505</v>
      </c>
    </row>
    <row r="4547" spans="1:2" x14ac:dyDescent="0.3">
      <c r="A4547" s="7" t="str">
        <f>HYPERLINK("http://www.eatonpowersource.com/products/configure/industrial%20valves/details/02-353893","02-353893")</f>
        <v>02-353893</v>
      </c>
      <c r="B4547" s="8" t="s">
        <v>4506</v>
      </c>
    </row>
    <row r="4548" spans="1:2" x14ac:dyDescent="0.3">
      <c r="A4548" s="5" t="str">
        <f>HYPERLINK("http://www.eatonpowersource.com/products/configure/industrial%20valves/details/02-353899","02-353899")</f>
        <v>02-353899</v>
      </c>
      <c r="B4548" s="6" t="s">
        <v>4507</v>
      </c>
    </row>
    <row r="4549" spans="1:2" x14ac:dyDescent="0.3">
      <c r="A4549" s="7" t="str">
        <f>HYPERLINK("http://www.eatonpowersource.com/products/configure/industrial%20valves/details/02-353907","02-353907")</f>
        <v>02-353907</v>
      </c>
      <c r="B4549" s="8" t="s">
        <v>4508</v>
      </c>
    </row>
    <row r="4550" spans="1:2" x14ac:dyDescent="0.3">
      <c r="A4550" s="5" t="str">
        <f>HYPERLINK("http://www.eatonpowersource.com/products/configure/industrial%20valves/details/02-353909","02-353909")</f>
        <v>02-353909</v>
      </c>
      <c r="B4550" s="6" t="s">
        <v>4509</v>
      </c>
    </row>
    <row r="4551" spans="1:2" x14ac:dyDescent="0.3">
      <c r="A4551" s="7" t="str">
        <f>HYPERLINK("http://www.eatonpowersource.com/products/configure/industrial%20valves/details/02-353914","02-353914")</f>
        <v>02-353914</v>
      </c>
      <c r="B4551" s="8" t="s">
        <v>4510</v>
      </c>
    </row>
    <row r="4552" spans="1:2" x14ac:dyDescent="0.3">
      <c r="A4552" s="5" t="str">
        <f>HYPERLINK("http://www.eatonpowersource.com/products/configure/industrial%20valves/details/02-353915","02-353915")</f>
        <v>02-353915</v>
      </c>
      <c r="B4552" s="6" t="s">
        <v>4511</v>
      </c>
    </row>
    <row r="4553" spans="1:2" x14ac:dyDescent="0.3">
      <c r="A4553" s="7" t="str">
        <f>HYPERLINK("http://www.eatonpowersource.com/products/configure/industrial%20valves/details/02-353921","02-353921")</f>
        <v>02-353921</v>
      </c>
      <c r="B4553" s="8" t="s">
        <v>4512</v>
      </c>
    </row>
    <row r="4554" spans="1:2" x14ac:dyDescent="0.3">
      <c r="A4554" s="5" t="str">
        <f>HYPERLINK("http://www.eatonpowersource.com/products/configure/industrial%20valves/details/02-353928","02-353928")</f>
        <v>02-353928</v>
      </c>
      <c r="B4554" s="6" t="s">
        <v>4513</v>
      </c>
    </row>
    <row r="4555" spans="1:2" x14ac:dyDescent="0.3">
      <c r="A4555" s="7" t="str">
        <f>HYPERLINK("http://www.eatonpowersource.com/products/configure/industrial%20valves/details/02-353984","02-353984")</f>
        <v>02-353984</v>
      </c>
      <c r="B4555" s="8" t="s">
        <v>4514</v>
      </c>
    </row>
    <row r="4556" spans="1:2" x14ac:dyDescent="0.3">
      <c r="A4556" s="5" t="str">
        <f>HYPERLINK("http://www.eatonpowersource.com/products/configure/industrial%20valves/details/02-353997","02-353997")</f>
        <v>02-353997</v>
      </c>
      <c r="B4556" s="6" t="s">
        <v>4515</v>
      </c>
    </row>
    <row r="4557" spans="1:2" x14ac:dyDescent="0.3">
      <c r="A4557" s="7" t="str">
        <f>HYPERLINK("http://www.eatonpowersource.com/products/configure/industrial%20valves/details/02-356806","02-356806")</f>
        <v>02-356806</v>
      </c>
      <c r="B4557" s="8" t="s">
        <v>4516</v>
      </c>
    </row>
    <row r="4558" spans="1:2" x14ac:dyDescent="0.3">
      <c r="A4558" s="5" t="str">
        <f>HYPERLINK("http://www.eatonpowersource.com/products/configure/industrial%20valves/details/02-358129","02-358129")</f>
        <v>02-358129</v>
      </c>
      <c r="B4558" s="6" t="s">
        <v>4517</v>
      </c>
    </row>
    <row r="4559" spans="1:2" x14ac:dyDescent="0.3">
      <c r="A4559" s="7" t="str">
        <f>HYPERLINK("http://www.eatonpowersource.com/products/configure/industrial%20valves/details/02-358141","02-358141")</f>
        <v>02-358141</v>
      </c>
      <c r="B4559" s="8" t="s">
        <v>4518</v>
      </c>
    </row>
    <row r="4560" spans="1:2" x14ac:dyDescent="0.3">
      <c r="A4560" s="5" t="str">
        <f>HYPERLINK("http://www.eatonpowersource.com/products/configure/industrial%20valves/details/02-358167","02-358167")</f>
        <v>02-358167</v>
      </c>
      <c r="B4560" s="6" t="s">
        <v>4519</v>
      </c>
    </row>
    <row r="4561" spans="1:2" x14ac:dyDescent="0.3">
      <c r="A4561" s="7" t="str">
        <f>HYPERLINK("http://www.eatonpowersource.com/products/configure/industrial%20valves/details/02-358168","02-358168")</f>
        <v>02-358168</v>
      </c>
      <c r="B4561" s="8" t="s">
        <v>4520</v>
      </c>
    </row>
    <row r="4562" spans="1:2" x14ac:dyDescent="0.3">
      <c r="A4562" s="5" t="str">
        <f>HYPERLINK("http://www.eatonpowersource.com/products/configure/industrial%20valves/details/02-358209","02-358209")</f>
        <v>02-358209</v>
      </c>
      <c r="B4562" s="6" t="s">
        <v>4521</v>
      </c>
    </row>
    <row r="4563" spans="1:2" x14ac:dyDescent="0.3">
      <c r="A4563" s="7" t="str">
        <f>HYPERLINK("http://www.eatonpowersource.com/products/configure/industrial%20valves/details/02-358456","02-358456")</f>
        <v>02-358456</v>
      </c>
      <c r="B4563" s="8" t="s">
        <v>4522</v>
      </c>
    </row>
    <row r="4564" spans="1:2" x14ac:dyDescent="0.3">
      <c r="A4564" s="5" t="str">
        <f>HYPERLINK("http://www.eatonpowersource.com/products/configure/industrial%20valves/details/02-358736","02-358736")</f>
        <v>02-358736</v>
      </c>
      <c r="B4564" s="6" t="s">
        <v>4523</v>
      </c>
    </row>
    <row r="4565" spans="1:2" x14ac:dyDescent="0.3">
      <c r="A4565" s="7" t="str">
        <f>HYPERLINK("http://www.eatonpowersource.com/products/configure/industrial%20valves/details/02-358751","02-358751")</f>
        <v>02-358751</v>
      </c>
      <c r="B4565" s="8" t="s">
        <v>4524</v>
      </c>
    </row>
    <row r="4566" spans="1:2" x14ac:dyDescent="0.3">
      <c r="A4566" s="5" t="str">
        <f>HYPERLINK("http://www.eatonpowersource.com/products/configure/industrial%20valves/details/02-358781","02-358781")</f>
        <v>02-358781</v>
      </c>
      <c r="B4566" s="6" t="s">
        <v>4525</v>
      </c>
    </row>
    <row r="4567" spans="1:2" x14ac:dyDescent="0.3">
      <c r="A4567" s="7" t="str">
        <f>HYPERLINK("http://www.eatonpowersource.com/products/configure/industrial%20valves/details/02-358824","02-358824")</f>
        <v>02-358824</v>
      </c>
      <c r="B4567" s="8" t="s">
        <v>4526</v>
      </c>
    </row>
    <row r="4568" spans="1:2" x14ac:dyDescent="0.3">
      <c r="A4568" s="5" t="str">
        <f>HYPERLINK("http://www.eatonpowersource.com/products/configure/industrial%20valves/details/02-358897","02-358897")</f>
        <v>02-358897</v>
      </c>
      <c r="B4568" s="6" t="s">
        <v>4527</v>
      </c>
    </row>
    <row r="4569" spans="1:2" x14ac:dyDescent="0.3">
      <c r="A4569" s="7" t="str">
        <f>HYPERLINK("http://www.eatonpowersource.com/products/configure/industrial%20valves/details/02-358984","02-358984")</f>
        <v>02-358984</v>
      </c>
      <c r="B4569" s="8" t="s">
        <v>4528</v>
      </c>
    </row>
    <row r="4570" spans="1:2" x14ac:dyDescent="0.3">
      <c r="A4570" s="5" t="str">
        <f>HYPERLINK("http://www.eatonpowersource.com/products/configure/industrial%20valves/details/02-359050","02-359050")</f>
        <v>02-359050</v>
      </c>
      <c r="B4570" s="6" t="s">
        <v>4529</v>
      </c>
    </row>
    <row r="4571" spans="1:2" x14ac:dyDescent="0.3">
      <c r="A4571" s="7" t="str">
        <f>HYPERLINK("http://www.eatonpowersource.com/products/configure/industrial%20valves/details/02-359091","02-359091")</f>
        <v>02-359091</v>
      </c>
      <c r="B4571" s="8" t="s">
        <v>4530</v>
      </c>
    </row>
    <row r="4572" spans="1:2" x14ac:dyDescent="0.3">
      <c r="A4572" s="5" t="str">
        <f>HYPERLINK("http://www.eatonpowersource.com/products/configure/industrial%20valves/details/02-359095","02-359095")</f>
        <v>02-359095</v>
      </c>
      <c r="B4572" s="6" t="s">
        <v>4531</v>
      </c>
    </row>
    <row r="4573" spans="1:2" x14ac:dyDescent="0.3">
      <c r="A4573" s="7" t="str">
        <f>HYPERLINK("http://www.eatonpowersource.com/products/configure/industrial%20valves/details/02-359132","02-359132")</f>
        <v>02-359132</v>
      </c>
      <c r="B4573" s="8" t="s">
        <v>4532</v>
      </c>
    </row>
    <row r="4574" spans="1:2" x14ac:dyDescent="0.3">
      <c r="A4574" s="5" t="str">
        <f>HYPERLINK("http://www.eatonpowersource.com/products/configure/industrial%20valves/details/02-359252","02-359252")</f>
        <v>02-359252</v>
      </c>
      <c r="B4574" s="6" t="s">
        <v>4533</v>
      </c>
    </row>
    <row r="4575" spans="1:2" x14ac:dyDescent="0.3">
      <c r="A4575" s="7" t="str">
        <f>HYPERLINK("http://www.eatonpowersource.com/products/configure/industrial%20valves/details/02-359262","02-359262")</f>
        <v>02-359262</v>
      </c>
      <c r="B4575" s="8" t="s">
        <v>4534</v>
      </c>
    </row>
    <row r="4576" spans="1:2" x14ac:dyDescent="0.3">
      <c r="A4576" s="5" t="str">
        <f>HYPERLINK("http://www.eatonpowersource.com/products/configure/industrial%20valves/details/02-359427","02-359427")</f>
        <v>02-359427</v>
      </c>
      <c r="B4576" s="6" t="s">
        <v>4535</v>
      </c>
    </row>
    <row r="4577" spans="1:2" x14ac:dyDescent="0.3">
      <c r="A4577" s="7" t="str">
        <f>HYPERLINK("http://www.eatonpowersource.com/products/configure/industrial%20valves/details/02-359464","02-359464")</f>
        <v>02-359464</v>
      </c>
      <c r="B4577" s="8" t="s">
        <v>4536</v>
      </c>
    </row>
    <row r="4578" spans="1:2" x14ac:dyDescent="0.3">
      <c r="A4578" s="5" t="str">
        <f>HYPERLINK("http://www.eatonpowersource.com/products/configure/industrial%20valves/details/02-359554","02-359554")</f>
        <v>02-359554</v>
      </c>
      <c r="B4578" s="6" t="s">
        <v>4537</v>
      </c>
    </row>
    <row r="4579" spans="1:2" x14ac:dyDescent="0.3">
      <c r="A4579" s="7" t="str">
        <f>HYPERLINK("http://www.eatonpowersource.com/products/configure/industrial%20valves/details/02-394771","02-394771")</f>
        <v>02-394771</v>
      </c>
      <c r="B4579" s="8" t="s">
        <v>4538</v>
      </c>
    </row>
    <row r="4580" spans="1:2" x14ac:dyDescent="0.3">
      <c r="A4580" s="5" t="str">
        <f>HYPERLINK("http://www.eatonpowersource.com/products/configure/industrial%20valves/details/02-396163","02-396163")</f>
        <v>02-396163</v>
      </c>
      <c r="B4580" s="6" t="s">
        <v>4539</v>
      </c>
    </row>
    <row r="4581" spans="1:2" x14ac:dyDescent="0.3">
      <c r="A4581" s="7" t="str">
        <f>HYPERLINK("http://www.eatonpowersource.com/products/configure/industrial%20valves/details/02-397422","02-397422")</f>
        <v>02-397422</v>
      </c>
      <c r="B4581" s="8" t="s">
        <v>4540</v>
      </c>
    </row>
    <row r="4582" spans="1:2" x14ac:dyDescent="0.3">
      <c r="A4582" s="5" t="str">
        <f>HYPERLINK("http://www.eatonpowersource.com/products/configure/industrial%20valves/details/02-399213","02-399213")</f>
        <v>02-399213</v>
      </c>
      <c r="B4582" s="6" t="s">
        <v>4541</v>
      </c>
    </row>
    <row r="4583" spans="1:2" x14ac:dyDescent="0.3">
      <c r="A4583" s="7" t="str">
        <f>HYPERLINK("http://www.eatonpowersource.com/products/configure/industrial%20valves/details/02-411003","02-411003")</f>
        <v>02-411003</v>
      </c>
      <c r="B4583" s="8" t="s">
        <v>4542</v>
      </c>
    </row>
    <row r="4584" spans="1:2" x14ac:dyDescent="0.3">
      <c r="A4584" s="5" t="str">
        <f>HYPERLINK("http://www.eatonpowersource.com/products/configure/industrial%20valves/details/02-411011","02-411011")</f>
        <v>02-411011</v>
      </c>
      <c r="B4584" s="6" t="s">
        <v>4543</v>
      </c>
    </row>
    <row r="4585" spans="1:2" x14ac:dyDescent="0.3">
      <c r="A4585" s="7" t="str">
        <f>HYPERLINK("http://www.eatonpowersource.com/products/configure/industrial%20valves/details/02-411042","02-411042")</f>
        <v>02-411042</v>
      </c>
      <c r="B4585" s="8" t="s">
        <v>4544</v>
      </c>
    </row>
    <row r="4586" spans="1:2" x14ac:dyDescent="0.3">
      <c r="A4586" s="5" t="str">
        <f>HYPERLINK("http://www.eatonpowersource.com/products/configure/industrial%20valves/details/02-411044","02-411044")</f>
        <v>02-411044</v>
      </c>
      <c r="B4586" s="6" t="s">
        <v>4545</v>
      </c>
    </row>
    <row r="4587" spans="1:2" x14ac:dyDescent="0.3">
      <c r="A4587" s="7" t="str">
        <f>HYPERLINK("http://www.eatonpowersource.com/products/configure/industrial%20valves/details/02-411075","02-411075")</f>
        <v>02-411075</v>
      </c>
      <c r="B4587" s="8" t="s">
        <v>4546</v>
      </c>
    </row>
    <row r="4588" spans="1:2" x14ac:dyDescent="0.3">
      <c r="A4588" s="5" t="str">
        <f>HYPERLINK("http://www.eatonpowersource.com/products/configure/industrial%20valves/details/02-411077","02-411077")</f>
        <v>02-411077</v>
      </c>
      <c r="B4588" s="6" t="s">
        <v>4547</v>
      </c>
    </row>
    <row r="4589" spans="1:2" x14ac:dyDescent="0.3">
      <c r="A4589" s="7" t="str">
        <f>HYPERLINK("http://www.eatonpowersource.com/products/configure/industrial%20valves/details/02-411079","02-411079")</f>
        <v>02-411079</v>
      </c>
      <c r="B4589" s="8" t="s">
        <v>4548</v>
      </c>
    </row>
    <row r="4590" spans="1:2" x14ac:dyDescent="0.3">
      <c r="A4590" s="5" t="str">
        <f>HYPERLINK("http://www.eatonpowersource.com/products/configure/industrial%20valves/details/02-411088","02-411088")</f>
        <v>02-411088</v>
      </c>
      <c r="B4590" s="6" t="s">
        <v>4549</v>
      </c>
    </row>
    <row r="4591" spans="1:2" x14ac:dyDescent="0.3">
      <c r="A4591" s="7" t="str">
        <f>HYPERLINK("http://www.eatonpowersource.com/products/configure/industrial%20valves/details/02-411095","02-411095")</f>
        <v>02-411095</v>
      </c>
      <c r="B4591" s="8" t="s">
        <v>4550</v>
      </c>
    </row>
    <row r="4592" spans="1:2" x14ac:dyDescent="0.3">
      <c r="A4592" s="5" t="str">
        <f>HYPERLINK("http://www.eatonpowersource.com/products/configure/industrial%20valves/details/02-411106","02-411106")</f>
        <v>02-411106</v>
      </c>
      <c r="B4592" s="6" t="s">
        <v>4551</v>
      </c>
    </row>
    <row r="4593" spans="1:2" x14ac:dyDescent="0.3">
      <c r="A4593" s="7" t="str">
        <f>HYPERLINK("http://www.eatonpowersource.com/products/configure/industrial%20valves/details/02-411122","02-411122")</f>
        <v>02-411122</v>
      </c>
      <c r="B4593" s="8" t="s">
        <v>4552</v>
      </c>
    </row>
    <row r="4594" spans="1:2" x14ac:dyDescent="0.3">
      <c r="A4594" s="5" t="str">
        <f>HYPERLINK("http://www.eatonpowersource.com/products/configure/industrial%20valves/details/02-411123","02-411123")</f>
        <v>02-411123</v>
      </c>
      <c r="B4594" s="6" t="s">
        <v>4553</v>
      </c>
    </row>
    <row r="4595" spans="1:2" x14ac:dyDescent="0.3">
      <c r="A4595" s="7" t="str">
        <f>HYPERLINK("http://www.eatonpowersource.com/products/configure/industrial%20valves/details/02-411124","02-411124")</f>
        <v>02-411124</v>
      </c>
      <c r="B4595" s="8" t="s">
        <v>4554</v>
      </c>
    </row>
    <row r="4596" spans="1:2" x14ac:dyDescent="0.3">
      <c r="A4596" s="5" t="str">
        <f>HYPERLINK("http://www.eatonpowersource.com/products/configure/industrial%20valves/details/02-411126","02-411126")</f>
        <v>02-411126</v>
      </c>
      <c r="B4596" s="6" t="s">
        <v>4555</v>
      </c>
    </row>
    <row r="4597" spans="1:2" x14ac:dyDescent="0.3">
      <c r="A4597" s="7" t="str">
        <f>HYPERLINK("http://www.eatonpowersource.com/products/configure/industrial%20valves/details/02-411127","02-411127")</f>
        <v>02-411127</v>
      </c>
      <c r="B4597" s="8" t="s">
        <v>4556</v>
      </c>
    </row>
    <row r="4598" spans="1:2" x14ac:dyDescent="0.3">
      <c r="A4598" s="5" t="str">
        <f>HYPERLINK("http://www.eatonpowersource.com/products/configure/industrial%20valves/details/02-411167","02-411167")</f>
        <v>02-411167</v>
      </c>
      <c r="B4598" s="6" t="s">
        <v>4557</v>
      </c>
    </row>
    <row r="4599" spans="1:2" x14ac:dyDescent="0.3">
      <c r="A4599" s="7" t="str">
        <f>HYPERLINK("http://www.eatonpowersource.com/products/configure/industrial%20valves/details/02-411186","02-411186")</f>
        <v>02-411186</v>
      </c>
      <c r="B4599" s="8" t="s">
        <v>4558</v>
      </c>
    </row>
    <row r="4600" spans="1:2" x14ac:dyDescent="0.3">
      <c r="A4600" s="5" t="str">
        <f>HYPERLINK("http://www.eatonpowersource.com/products/configure/industrial%20valves/details/02-411192","02-411192")</f>
        <v>02-411192</v>
      </c>
      <c r="B4600" s="6" t="s">
        <v>4559</v>
      </c>
    </row>
    <row r="4601" spans="1:2" x14ac:dyDescent="0.3">
      <c r="A4601" s="7" t="str">
        <f>HYPERLINK("http://www.eatonpowersource.com/products/configure/industrial%20valves/details/02-411248","02-411248")</f>
        <v>02-411248</v>
      </c>
      <c r="B4601" s="8" t="s">
        <v>4560</v>
      </c>
    </row>
    <row r="4602" spans="1:2" x14ac:dyDescent="0.3">
      <c r="A4602" s="5" t="str">
        <f>HYPERLINK("http://www.eatonpowersource.com/products/configure/industrial%20valves/details/02-411288","02-411288")</f>
        <v>02-411288</v>
      </c>
      <c r="B4602" s="6" t="s">
        <v>4561</v>
      </c>
    </row>
    <row r="4603" spans="1:2" x14ac:dyDescent="0.3">
      <c r="A4603" s="7" t="str">
        <f>HYPERLINK("http://www.eatonpowersource.com/products/configure/industrial%20valves/details/02-411295","02-411295")</f>
        <v>02-411295</v>
      </c>
      <c r="B4603" s="8" t="s">
        <v>4562</v>
      </c>
    </row>
    <row r="4604" spans="1:2" x14ac:dyDescent="0.3">
      <c r="A4604" s="5" t="str">
        <f>HYPERLINK("http://www.eatonpowersource.com/products/configure/industrial%20valves/details/02-411338","02-411338")</f>
        <v>02-411338</v>
      </c>
      <c r="B4604" s="6" t="s">
        <v>4563</v>
      </c>
    </row>
    <row r="4605" spans="1:2" x14ac:dyDescent="0.3">
      <c r="A4605" s="7" t="str">
        <f>HYPERLINK("http://www.eatonpowersource.com/products/configure/industrial%20valves/details/02-411339","02-411339")</f>
        <v>02-411339</v>
      </c>
      <c r="B4605" s="8" t="s">
        <v>4564</v>
      </c>
    </row>
    <row r="4606" spans="1:2" x14ac:dyDescent="0.3">
      <c r="A4606" s="5" t="str">
        <f>HYPERLINK("http://www.eatonpowersource.com/products/configure/industrial%20valves/details/02-411344","02-411344")</f>
        <v>02-411344</v>
      </c>
      <c r="B4606" s="6" t="s">
        <v>4565</v>
      </c>
    </row>
    <row r="4607" spans="1:2" x14ac:dyDescent="0.3">
      <c r="A4607" s="7" t="str">
        <f>HYPERLINK("http://www.eatonpowersource.com/products/configure/industrial%20valves/details/02-411348","02-411348")</f>
        <v>02-411348</v>
      </c>
      <c r="B4607" s="8" t="s">
        <v>4566</v>
      </c>
    </row>
    <row r="4608" spans="1:2" x14ac:dyDescent="0.3">
      <c r="A4608" s="5" t="str">
        <f>HYPERLINK("http://www.eatonpowersource.com/products/configure/industrial%20valves/details/02-411349","02-411349")</f>
        <v>02-411349</v>
      </c>
      <c r="B4608" s="6" t="s">
        <v>4567</v>
      </c>
    </row>
    <row r="4609" spans="1:2" x14ac:dyDescent="0.3">
      <c r="A4609" s="7" t="str">
        <f>HYPERLINK("http://www.eatonpowersource.com/products/configure/industrial%20valves/details/02-411357","02-411357")</f>
        <v>02-411357</v>
      </c>
      <c r="B4609" s="8" t="s">
        <v>4568</v>
      </c>
    </row>
    <row r="4610" spans="1:2" x14ac:dyDescent="0.3">
      <c r="A4610" s="5" t="str">
        <f>HYPERLINK("http://www.eatonpowersource.com/products/configure/industrial%20valves/details/02-411360","02-411360")</f>
        <v>02-411360</v>
      </c>
      <c r="B4610" s="6" t="s">
        <v>4569</v>
      </c>
    </row>
    <row r="4611" spans="1:2" x14ac:dyDescent="0.3">
      <c r="A4611" s="7" t="str">
        <f>HYPERLINK("http://www.eatonpowersource.com/products/configure/industrial%20valves/details/02-411361","02-411361")</f>
        <v>02-411361</v>
      </c>
      <c r="B4611" s="8" t="s">
        <v>4570</v>
      </c>
    </row>
    <row r="4612" spans="1:2" x14ac:dyDescent="0.3">
      <c r="A4612" s="5" t="str">
        <f>HYPERLINK("http://www.eatonpowersource.com/products/configure/industrial%20valves/details/02-411362","02-411362")</f>
        <v>02-411362</v>
      </c>
      <c r="B4612" s="6" t="s">
        <v>4571</v>
      </c>
    </row>
    <row r="4613" spans="1:2" x14ac:dyDescent="0.3">
      <c r="A4613" s="7" t="str">
        <f>HYPERLINK("http://www.eatonpowersource.com/products/configure/industrial%20valves/details/02-411374","02-411374")</f>
        <v>02-411374</v>
      </c>
      <c r="B4613" s="8" t="s">
        <v>4572</v>
      </c>
    </row>
    <row r="4614" spans="1:2" x14ac:dyDescent="0.3">
      <c r="A4614" s="5" t="str">
        <f>HYPERLINK("http://www.eatonpowersource.com/products/configure/industrial%20valves/details/02-411402","02-411402")</f>
        <v>02-411402</v>
      </c>
      <c r="B4614" s="6" t="s">
        <v>4573</v>
      </c>
    </row>
    <row r="4615" spans="1:2" x14ac:dyDescent="0.3">
      <c r="A4615" s="7" t="str">
        <f>HYPERLINK("http://www.eatonpowersource.com/products/configure/industrial%20valves/details/02-411494","02-411494")</f>
        <v>02-411494</v>
      </c>
      <c r="B4615" s="8" t="s">
        <v>4574</v>
      </c>
    </row>
    <row r="4616" spans="1:2" x14ac:dyDescent="0.3">
      <c r="A4616" s="5" t="str">
        <f>HYPERLINK("http://www.eatonpowersource.com/products/configure/industrial%20valves/details/02-411512","02-411512")</f>
        <v>02-411512</v>
      </c>
      <c r="B4616" s="6" t="s">
        <v>4575</v>
      </c>
    </row>
    <row r="4617" spans="1:2" x14ac:dyDescent="0.3">
      <c r="A4617" s="7" t="str">
        <f>HYPERLINK("http://www.eatonpowersource.com/products/configure/industrial%20valves/details/02-411540","02-411540")</f>
        <v>02-411540</v>
      </c>
      <c r="B4617" s="8" t="s">
        <v>4576</v>
      </c>
    </row>
    <row r="4618" spans="1:2" x14ac:dyDescent="0.3">
      <c r="A4618" s="5" t="str">
        <f>HYPERLINK("http://www.eatonpowersource.com/products/configure/industrial%20valves/details/02-411547","02-411547")</f>
        <v>02-411547</v>
      </c>
      <c r="B4618" s="6" t="s">
        <v>4577</v>
      </c>
    </row>
    <row r="4619" spans="1:2" x14ac:dyDescent="0.3">
      <c r="A4619" s="7" t="str">
        <f>HYPERLINK("http://www.eatonpowersource.com/products/configure/industrial%20valves/details/02-411612","02-411612")</f>
        <v>02-411612</v>
      </c>
      <c r="B4619" s="8" t="s">
        <v>4578</v>
      </c>
    </row>
    <row r="4620" spans="1:2" x14ac:dyDescent="0.3">
      <c r="A4620" s="5" t="str">
        <f>HYPERLINK("http://www.eatonpowersource.com/products/configure/industrial%20valves/details/02-411619","02-411619")</f>
        <v>02-411619</v>
      </c>
      <c r="B4620" s="6" t="s">
        <v>4579</v>
      </c>
    </row>
    <row r="4621" spans="1:2" x14ac:dyDescent="0.3">
      <c r="A4621" s="7" t="str">
        <f>HYPERLINK("http://www.eatonpowersource.com/products/configure/industrial%20valves/details/02-411637","02-411637")</f>
        <v>02-411637</v>
      </c>
      <c r="B4621" s="8" t="s">
        <v>4580</v>
      </c>
    </row>
    <row r="4622" spans="1:2" x14ac:dyDescent="0.3">
      <c r="A4622" s="5" t="str">
        <f>HYPERLINK("http://www.eatonpowersource.com/products/configure/industrial%20valves/details/02-411646","02-411646")</f>
        <v>02-411646</v>
      </c>
      <c r="B4622" s="6" t="s">
        <v>4581</v>
      </c>
    </row>
    <row r="4623" spans="1:2" x14ac:dyDescent="0.3">
      <c r="A4623" s="7" t="str">
        <f>HYPERLINK("http://www.eatonpowersource.com/products/configure/industrial%20valves/details/02-411651","02-411651")</f>
        <v>02-411651</v>
      </c>
      <c r="B4623" s="8" t="s">
        <v>4582</v>
      </c>
    </row>
    <row r="4624" spans="1:2" x14ac:dyDescent="0.3">
      <c r="A4624" s="5" t="str">
        <f>HYPERLINK("http://www.eatonpowersource.com/products/configure/industrial%20valves/details/02-411690","02-411690")</f>
        <v>02-411690</v>
      </c>
      <c r="B4624" s="6" t="s">
        <v>4583</v>
      </c>
    </row>
    <row r="4625" spans="1:2" x14ac:dyDescent="0.3">
      <c r="A4625" s="7" t="str">
        <f>HYPERLINK("http://www.eatonpowersource.com/products/configure/industrial%20valves/details/02-411698","02-411698")</f>
        <v>02-411698</v>
      </c>
      <c r="B4625" s="8" t="s">
        <v>4584</v>
      </c>
    </row>
    <row r="4626" spans="1:2" x14ac:dyDescent="0.3">
      <c r="A4626" s="5" t="str">
        <f>HYPERLINK("http://www.eatonpowersource.com/products/configure/industrial%20valves/details/02-411740","02-411740")</f>
        <v>02-411740</v>
      </c>
      <c r="B4626" s="6" t="s">
        <v>4585</v>
      </c>
    </row>
    <row r="4627" spans="1:2" x14ac:dyDescent="0.3">
      <c r="A4627" s="7" t="str">
        <f>HYPERLINK("http://www.eatonpowersource.com/products/configure/industrial%20valves/details/02-411756","02-411756")</f>
        <v>02-411756</v>
      </c>
      <c r="B4627" s="8" t="s">
        <v>4586</v>
      </c>
    </row>
    <row r="4628" spans="1:2" x14ac:dyDescent="0.3">
      <c r="A4628" s="5" t="str">
        <f>HYPERLINK("http://www.eatonpowersource.com/products/configure/industrial%20valves/details/02-411757","02-411757")</f>
        <v>02-411757</v>
      </c>
      <c r="B4628" s="6" t="s">
        <v>4587</v>
      </c>
    </row>
    <row r="4629" spans="1:2" x14ac:dyDescent="0.3">
      <c r="A4629" s="7" t="str">
        <f>HYPERLINK("http://www.eatonpowersource.com/products/configure/industrial%20valves/details/02-411764","02-411764")</f>
        <v>02-411764</v>
      </c>
      <c r="B4629" s="8" t="s">
        <v>4588</v>
      </c>
    </row>
    <row r="4630" spans="1:2" x14ac:dyDescent="0.3">
      <c r="A4630" s="5" t="str">
        <f>HYPERLINK("http://www.eatonpowersource.com/products/configure/industrial%20valves/details/02-411775","02-411775")</f>
        <v>02-411775</v>
      </c>
      <c r="B4630" s="6" t="s">
        <v>4589</v>
      </c>
    </row>
    <row r="4631" spans="1:2" x14ac:dyDescent="0.3">
      <c r="A4631" s="7" t="str">
        <f>HYPERLINK("http://www.eatonpowersource.com/products/configure/industrial%20valves/details/02-411790","02-411790")</f>
        <v>02-411790</v>
      </c>
      <c r="B4631" s="8" t="s">
        <v>4590</v>
      </c>
    </row>
    <row r="4632" spans="1:2" x14ac:dyDescent="0.3">
      <c r="A4632" s="5" t="str">
        <f>HYPERLINK("http://www.eatonpowersource.com/products/configure/industrial%20valves/details/02-411791","02-411791")</f>
        <v>02-411791</v>
      </c>
      <c r="B4632" s="6" t="s">
        <v>4591</v>
      </c>
    </row>
    <row r="4633" spans="1:2" x14ac:dyDescent="0.3">
      <c r="A4633" s="7" t="str">
        <f>HYPERLINK("http://www.eatonpowersource.com/products/configure/industrial%20valves/details/02-411800","02-411800")</f>
        <v>02-411800</v>
      </c>
      <c r="B4633" s="8" t="s">
        <v>4592</v>
      </c>
    </row>
    <row r="4634" spans="1:2" x14ac:dyDescent="0.3">
      <c r="A4634" s="5" t="str">
        <f>HYPERLINK("http://www.eatonpowersource.com/products/configure/industrial%20valves/details/02-411861","02-411861")</f>
        <v>02-411861</v>
      </c>
      <c r="B4634" s="6" t="s">
        <v>4593</v>
      </c>
    </row>
    <row r="4635" spans="1:2" x14ac:dyDescent="0.3">
      <c r="A4635" s="7" t="str">
        <f>HYPERLINK("http://www.eatonpowersource.com/products/configure/industrial%20valves/details/02-411871","02-411871")</f>
        <v>02-411871</v>
      </c>
      <c r="B4635" s="8" t="s">
        <v>4594</v>
      </c>
    </row>
    <row r="4636" spans="1:2" x14ac:dyDescent="0.3">
      <c r="A4636" s="5" t="str">
        <f>HYPERLINK("http://www.eatonpowersource.com/products/configure/industrial%20valves/details/02-411891","02-411891")</f>
        <v>02-411891</v>
      </c>
      <c r="B4636" s="6" t="s">
        <v>4595</v>
      </c>
    </row>
    <row r="4637" spans="1:2" x14ac:dyDescent="0.3">
      <c r="A4637" s="7" t="str">
        <f>HYPERLINK("http://www.eatonpowersource.com/products/configure/industrial%20valves/details/02-411919","02-411919")</f>
        <v>02-411919</v>
      </c>
      <c r="B4637" s="8" t="s">
        <v>4596</v>
      </c>
    </row>
    <row r="4638" spans="1:2" x14ac:dyDescent="0.3">
      <c r="A4638" s="5" t="str">
        <f>HYPERLINK("http://www.eatonpowersource.com/products/configure/industrial%20valves/details/02-411954","02-411954")</f>
        <v>02-411954</v>
      </c>
      <c r="B4638" s="6" t="s">
        <v>4597</v>
      </c>
    </row>
    <row r="4639" spans="1:2" x14ac:dyDescent="0.3">
      <c r="A4639" s="7" t="str">
        <f>HYPERLINK("http://www.eatonpowersource.com/products/configure/industrial%20valves/details/02-411970","02-411970")</f>
        <v>02-411970</v>
      </c>
      <c r="B4639" s="8" t="s">
        <v>4598</v>
      </c>
    </row>
    <row r="4640" spans="1:2" x14ac:dyDescent="0.3">
      <c r="A4640" s="5" t="str">
        <f>HYPERLINK("http://www.eatonpowersource.com/products/configure/industrial%20valves/details/02-412054","02-412054")</f>
        <v>02-412054</v>
      </c>
      <c r="B4640" s="6" t="s">
        <v>4599</v>
      </c>
    </row>
    <row r="4641" spans="1:2" x14ac:dyDescent="0.3">
      <c r="A4641" s="7" t="str">
        <f>HYPERLINK("http://www.eatonpowersource.com/products/configure/industrial%20valves/details/02-412094","02-412094")</f>
        <v>02-412094</v>
      </c>
      <c r="B4641" s="8" t="s">
        <v>4600</v>
      </c>
    </row>
    <row r="4642" spans="1:2" x14ac:dyDescent="0.3">
      <c r="A4642" s="5" t="str">
        <f>HYPERLINK("http://www.eatonpowersource.com/products/configure/industrial%20valves/details/02-412101","02-412101")</f>
        <v>02-412101</v>
      </c>
      <c r="B4642" s="6" t="s">
        <v>4601</v>
      </c>
    </row>
    <row r="4643" spans="1:2" x14ac:dyDescent="0.3">
      <c r="A4643" s="7" t="str">
        <f>HYPERLINK("http://www.eatonpowersource.com/products/configure/industrial%20valves/details/02-412113","02-412113")</f>
        <v>02-412113</v>
      </c>
      <c r="B4643" s="8" t="s">
        <v>4602</v>
      </c>
    </row>
    <row r="4644" spans="1:2" x14ac:dyDescent="0.3">
      <c r="A4644" s="5" t="str">
        <f>HYPERLINK("http://www.eatonpowersource.com/products/configure/industrial%20valves/details/02-412114","02-412114")</f>
        <v>02-412114</v>
      </c>
      <c r="B4644" s="6" t="s">
        <v>4603</v>
      </c>
    </row>
    <row r="4645" spans="1:2" x14ac:dyDescent="0.3">
      <c r="A4645" s="7" t="str">
        <f>HYPERLINK("http://www.eatonpowersource.com/products/configure/industrial%20valves/details/02-412115","02-412115")</f>
        <v>02-412115</v>
      </c>
      <c r="B4645" s="8" t="s">
        <v>4604</v>
      </c>
    </row>
    <row r="4646" spans="1:2" x14ac:dyDescent="0.3">
      <c r="A4646" s="5" t="str">
        <f>HYPERLINK("http://www.eatonpowersource.com/products/configure/industrial%20valves/details/02-412116","02-412116")</f>
        <v>02-412116</v>
      </c>
      <c r="B4646" s="6" t="s">
        <v>4605</v>
      </c>
    </row>
    <row r="4647" spans="1:2" x14ac:dyDescent="0.3">
      <c r="A4647" s="7" t="str">
        <f>HYPERLINK("http://www.eatonpowersource.com/products/configure/industrial%20valves/details/02-412119","02-412119")</f>
        <v>02-412119</v>
      </c>
      <c r="B4647" s="8" t="s">
        <v>4606</v>
      </c>
    </row>
    <row r="4648" spans="1:2" x14ac:dyDescent="0.3">
      <c r="A4648" s="5" t="str">
        <f>HYPERLINK("http://www.eatonpowersource.com/products/configure/industrial%20valves/details/02-412120","02-412120")</f>
        <v>02-412120</v>
      </c>
      <c r="B4648" s="6" t="s">
        <v>4607</v>
      </c>
    </row>
    <row r="4649" spans="1:2" x14ac:dyDescent="0.3">
      <c r="A4649" s="7" t="str">
        <f>HYPERLINK("http://www.eatonpowersource.com/products/configure/industrial%20valves/details/02-412121","02-412121")</f>
        <v>02-412121</v>
      </c>
      <c r="B4649" s="8" t="s">
        <v>4608</v>
      </c>
    </row>
    <row r="4650" spans="1:2" x14ac:dyDescent="0.3">
      <c r="A4650" s="5" t="str">
        <f>HYPERLINK("http://www.eatonpowersource.com/products/configure/industrial%20valves/details/02-412124","02-412124")</f>
        <v>02-412124</v>
      </c>
      <c r="B4650" s="6" t="s">
        <v>4609</v>
      </c>
    </row>
    <row r="4651" spans="1:2" x14ac:dyDescent="0.3">
      <c r="A4651" s="7" t="str">
        <f>HYPERLINK("http://www.eatonpowersource.com/products/configure/industrial%20valves/details/02-412125","02-412125")</f>
        <v>02-412125</v>
      </c>
      <c r="B4651" s="8" t="s">
        <v>4610</v>
      </c>
    </row>
    <row r="4652" spans="1:2" x14ac:dyDescent="0.3">
      <c r="A4652" s="5" t="str">
        <f>HYPERLINK("http://www.eatonpowersource.com/products/configure/industrial%20valves/details/02-412126","02-412126")</f>
        <v>02-412126</v>
      </c>
      <c r="B4652" s="6" t="s">
        <v>4611</v>
      </c>
    </row>
    <row r="4653" spans="1:2" x14ac:dyDescent="0.3">
      <c r="A4653" s="7" t="str">
        <f>HYPERLINK("http://www.eatonpowersource.com/products/configure/industrial%20valves/details/02-412127","02-412127")</f>
        <v>02-412127</v>
      </c>
      <c r="B4653" s="8" t="s">
        <v>4612</v>
      </c>
    </row>
    <row r="4654" spans="1:2" x14ac:dyDescent="0.3">
      <c r="A4654" s="5" t="str">
        <f>HYPERLINK("http://www.eatonpowersource.com/products/configure/industrial%20valves/details/02-412128","02-412128")</f>
        <v>02-412128</v>
      </c>
      <c r="B4654" s="6" t="s">
        <v>4613</v>
      </c>
    </row>
    <row r="4655" spans="1:2" x14ac:dyDescent="0.3">
      <c r="A4655" s="7" t="str">
        <f>HYPERLINK("http://www.eatonpowersource.com/products/configure/industrial%20valves/details/02-412130","02-412130")</f>
        <v>02-412130</v>
      </c>
      <c r="B4655" s="8" t="s">
        <v>4614</v>
      </c>
    </row>
    <row r="4656" spans="1:2" x14ac:dyDescent="0.3">
      <c r="A4656" s="5" t="str">
        <f>HYPERLINK("http://www.eatonpowersource.com/products/configure/industrial%20valves/details/02-412131","02-412131")</f>
        <v>02-412131</v>
      </c>
      <c r="B4656" s="6" t="s">
        <v>4615</v>
      </c>
    </row>
    <row r="4657" spans="1:2" x14ac:dyDescent="0.3">
      <c r="A4657" s="7" t="str">
        <f>HYPERLINK("http://www.eatonpowersource.com/products/configure/industrial%20valves/details/02-412132","02-412132")</f>
        <v>02-412132</v>
      </c>
      <c r="B4657" s="8" t="s">
        <v>4616</v>
      </c>
    </row>
    <row r="4658" spans="1:2" x14ac:dyDescent="0.3">
      <c r="A4658" s="5" t="str">
        <f>HYPERLINK("http://www.eatonpowersource.com/products/configure/industrial%20valves/details/02-412133","02-412133")</f>
        <v>02-412133</v>
      </c>
      <c r="B4658" s="6" t="s">
        <v>4617</v>
      </c>
    </row>
    <row r="4659" spans="1:2" x14ac:dyDescent="0.3">
      <c r="A4659" s="7" t="str">
        <f>HYPERLINK("http://www.eatonpowersource.com/products/configure/industrial%20valves/details/02-412136","02-412136")</f>
        <v>02-412136</v>
      </c>
      <c r="B4659" s="8" t="s">
        <v>4618</v>
      </c>
    </row>
    <row r="4660" spans="1:2" x14ac:dyDescent="0.3">
      <c r="A4660" s="5" t="str">
        <f>HYPERLINK("http://www.eatonpowersource.com/products/configure/industrial%20valves/details/02-412137","02-412137")</f>
        <v>02-412137</v>
      </c>
      <c r="B4660" s="6" t="s">
        <v>4619</v>
      </c>
    </row>
    <row r="4661" spans="1:2" x14ac:dyDescent="0.3">
      <c r="A4661" s="7" t="str">
        <f>HYPERLINK("http://www.eatonpowersource.com/products/configure/industrial%20valves/details/02-412138","02-412138")</f>
        <v>02-412138</v>
      </c>
      <c r="B4661" s="8" t="s">
        <v>4620</v>
      </c>
    </row>
    <row r="4662" spans="1:2" x14ac:dyDescent="0.3">
      <c r="A4662" s="5" t="str">
        <f>HYPERLINK("http://www.eatonpowersource.com/products/configure/industrial%20valves/details/02-412139","02-412139")</f>
        <v>02-412139</v>
      </c>
      <c r="B4662" s="6" t="s">
        <v>4621</v>
      </c>
    </row>
    <row r="4663" spans="1:2" x14ac:dyDescent="0.3">
      <c r="A4663" s="7" t="str">
        <f>HYPERLINK("http://www.eatonpowersource.com/products/configure/industrial%20valves/details/02-412140","02-412140")</f>
        <v>02-412140</v>
      </c>
      <c r="B4663" s="8" t="s">
        <v>4622</v>
      </c>
    </row>
    <row r="4664" spans="1:2" x14ac:dyDescent="0.3">
      <c r="A4664" s="5" t="str">
        <f>HYPERLINK("http://www.eatonpowersource.com/products/configure/industrial%20valves/details/02-412141","02-412141")</f>
        <v>02-412141</v>
      </c>
      <c r="B4664" s="6" t="s">
        <v>4623</v>
      </c>
    </row>
    <row r="4665" spans="1:2" x14ac:dyDescent="0.3">
      <c r="A4665" s="7" t="str">
        <f>HYPERLINK("http://www.eatonpowersource.com/products/configure/industrial%20valves/details/02-412142","02-412142")</f>
        <v>02-412142</v>
      </c>
      <c r="B4665" s="8" t="s">
        <v>4624</v>
      </c>
    </row>
    <row r="4666" spans="1:2" x14ac:dyDescent="0.3">
      <c r="A4666" s="5" t="str">
        <f>HYPERLINK("http://www.eatonpowersource.com/products/configure/industrial%20valves/details/02-412144","02-412144")</f>
        <v>02-412144</v>
      </c>
      <c r="B4666" s="6" t="s">
        <v>4625</v>
      </c>
    </row>
    <row r="4667" spans="1:2" x14ac:dyDescent="0.3">
      <c r="A4667" s="7" t="str">
        <f>HYPERLINK("http://www.eatonpowersource.com/products/configure/industrial%20valves/details/02-412150","02-412150")</f>
        <v>02-412150</v>
      </c>
      <c r="B4667" s="8" t="s">
        <v>4626</v>
      </c>
    </row>
    <row r="4668" spans="1:2" x14ac:dyDescent="0.3">
      <c r="A4668" s="5" t="str">
        <f>HYPERLINK("http://www.eatonpowersource.com/products/configure/industrial%20valves/details/02-412151","02-412151")</f>
        <v>02-412151</v>
      </c>
      <c r="B4668" s="6" t="s">
        <v>4627</v>
      </c>
    </row>
    <row r="4669" spans="1:2" x14ac:dyDescent="0.3">
      <c r="A4669" s="7" t="str">
        <f>HYPERLINK("http://www.eatonpowersource.com/products/configure/industrial%20valves/details/02-412152","02-412152")</f>
        <v>02-412152</v>
      </c>
      <c r="B4669" s="8" t="s">
        <v>4628</v>
      </c>
    </row>
    <row r="4670" spans="1:2" x14ac:dyDescent="0.3">
      <c r="A4670" s="5" t="str">
        <f>HYPERLINK("http://www.eatonpowersource.com/products/configure/industrial%20valves/details/02-412153","02-412153")</f>
        <v>02-412153</v>
      </c>
      <c r="B4670" s="6" t="s">
        <v>4629</v>
      </c>
    </row>
    <row r="4671" spans="1:2" x14ac:dyDescent="0.3">
      <c r="A4671" s="7" t="str">
        <f>HYPERLINK("http://www.eatonpowersource.com/products/configure/industrial%20valves/details/02-412154","02-412154")</f>
        <v>02-412154</v>
      </c>
      <c r="B4671" s="8" t="s">
        <v>4630</v>
      </c>
    </row>
    <row r="4672" spans="1:2" x14ac:dyDescent="0.3">
      <c r="A4672" s="5" t="str">
        <f>HYPERLINK("http://www.eatonpowersource.com/products/configure/industrial%20valves/details/02-412155","02-412155")</f>
        <v>02-412155</v>
      </c>
      <c r="B4672" s="6" t="s">
        <v>4631</v>
      </c>
    </row>
    <row r="4673" spans="1:2" x14ac:dyDescent="0.3">
      <c r="A4673" s="7" t="str">
        <f>HYPERLINK("http://www.eatonpowersource.com/products/configure/industrial%20valves/details/02-412156","02-412156")</f>
        <v>02-412156</v>
      </c>
      <c r="B4673" s="8" t="s">
        <v>4632</v>
      </c>
    </row>
    <row r="4674" spans="1:2" x14ac:dyDescent="0.3">
      <c r="A4674" s="5" t="str">
        <f>HYPERLINK("http://www.eatonpowersource.com/products/configure/industrial%20valves/details/02-412157","02-412157")</f>
        <v>02-412157</v>
      </c>
      <c r="B4674" s="6" t="s">
        <v>4633</v>
      </c>
    </row>
    <row r="4675" spans="1:2" x14ac:dyDescent="0.3">
      <c r="A4675" s="7" t="str">
        <f>HYPERLINK("http://www.eatonpowersource.com/products/configure/industrial%20valves/details/02-412158","02-412158")</f>
        <v>02-412158</v>
      </c>
      <c r="B4675" s="8" t="s">
        <v>4634</v>
      </c>
    </row>
    <row r="4676" spans="1:2" x14ac:dyDescent="0.3">
      <c r="A4676" s="5" t="str">
        <f>HYPERLINK("http://www.eatonpowersource.com/products/configure/industrial%20valves/details/02-412159","02-412159")</f>
        <v>02-412159</v>
      </c>
      <c r="B4676" s="6" t="s">
        <v>4635</v>
      </c>
    </row>
    <row r="4677" spans="1:2" x14ac:dyDescent="0.3">
      <c r="A4677" s="7" t="str">
        <f>HYPERLINK("http://www.eatonpowersource.com/products/configure/industrial%20valves/details/02-412160","02-412160")</f>
        <v>02-412160</v>
      </c>
      <c r="B4677" s="8" t="s">
        <v>4636</v>
      </c>
    </row>
    <row r="4678" spans="1:2" x14ac:dyDescent="0.3">
      <c r="A4678" s="5" t="str">
        <f>HYPERLINK("http://www.eatonpowersource.com/products/configure/industrial%20valves/details/02-412161","02-412161")</f>
        <v>02-412161</v>
      </c>
      <c r="B4678" s="6" t="s">
        <v>4637</v>
      </c>
    </row>
    <row r="4679" spans="1:2" x14ac:dyDescent="0.3">
      <c r="A4679" s="7" t="str">
        <f>HYPERLINK("http://www.eatonpowersource.com/products/configure/industrial%20valves/details/02-412162","02-412162")</f>
        <v>02-412162</v>
      </c>
      <c r="B4679" s="8" t="s">
        <v>4638</v>
      </c>
    </row>
    <row r="4680" spans="1:2" x14ac:dyDescent="0.3">
      <c r="A4680" s="5" t="str">
        <f>HYPERLINK("http://www.eatonpowersource.com/products/configure/industrial%20valves/details/02-412163","02-412163")</f>
        <v>02-412163</v>
      </c>
      <c r="B4680" s="6" t="s">
        <v>4639</v>
      </c>
    </row>
    <row r="4681" spans="1:2" x14ac:dyDescent="0.3">
      <c r="A4681" s="7" t="str">
        <f>HYPERLINK("http://www.eatonpowersource.com/products/configure/industrial%20valves/details/02-412164","02-412164")</f>
        <v>02-412164</v>
      </c>
      <c r="B4681" s="8" t="s">
        <v>4640</v>
      </c>
    </row>
    <row r="4682" spans="1:2" x14ac:dyDescent="0.3">
      <c r="A4682" s="5" t="str">
        <f>HYPERLINK("http://www.eatonpowersource.com/products/configure/industrial%20valves/details/02-412165","02-412165")</f>
        <v>02-412165</v>
      </c>
      <c r="B4682" s="6" t="s">
        <v>4641</v>
      </c>
    </row>
    <row r="4683" spans="1:2" x14ac:dyDescent="0.3">
      <c r="A4683" s="7" t="str">
        <f>HYPERLINK("http://www.eatonpowersource.com/products/configure/industrial%20valves/details/02-412167","02-412167")</f>
        <v>02-412167</v>
      </c>
      <c r="B4683" s="8" t="s">
        <v>4642</v>
      </c>
    </row>
    <row r="4684" spans="1:2" x14ac:dyDescent="0.3">
      <c r="A4684" s="5" t="str">
        <f>HYPERLINK("http://www.eatonpowersource.com/products/configure/industrial%20valves/details/02-412171","02-412171")</f>
        <v>02-412171</v>
      </c>
      <c r="B4684" s="6" t="s">
        <v>4643</v>
      </c>
    </row>
    <row r="4685" spans="1:2" x14ac:dyDescent="0.3">
      <c r="A4685" s="7" t="str">
        <f>HYPERLINK("http://www.eatonpowersource.com/products/configure/industrial%20valves/details/02-412175","02-412175")</f>
        <v>02-412175</v>
      </c>
      <c r="B4685" s="8" t="s">
        <v>4644</v>
      </c>
    </row>
    <row r="4686" spans="1:2" x14ac:dyDescent="0.3">
      <c r="A4686" s="5" t="str">
        <f>HYPERLINK("http://www.eatonpowersource.com/products/configure/industrial%20valves/details/02-412179","02-412179")</f>
        <v>02-412179</v>
      </c>
      <c r="B4686" s="6" t="s">
        <v>4645</v>
      </c>
    </row>
    <row r="4687" spans="1:2" x14ac:dyDescent="0.3">
      <c r="A4687" s="7" t="str">
        <f>HYPERLINK("http://www.eatonpowersource.com/products/configure/industrial%20valves/details/02-412181","02-412181")</f>
        <v>02-412181</v>
      </c>
      <c r="B4687" s="8" t="s">
        <v>4646</v>
      </c>
    </row>
    <row r="4688" spans="1:2" x14ac:dyDescent="0.3">
      <c r="A4688" s="5" t="str">
        <f>HYPERLINK("http://www.eatonpowersource.com/products/configure/industrial%20valves/details/02-412198","02-412198")</f>
        <v>02-412198</v>
      </c>
      <c r="B4688" s="6" t="s">
        <v>4647</v>
      </c>
    </row>
    <row r="4689" spans="1:2" x14ac:dyDescent="0.3">
      <c r="A4689" s="7" t="str">
        <f>HYPERLINK("http://www.eatonpowersource.com/products/configure/industrial%20valves/details/02-412206","02-412206")</f>
        <v>02-412206</v>
      </c>
      <c r="B4689" s="8" t="s">
        <v>4648</v>
      </c>
    </row>
    <row r="4690" spans="1:2" x14ac:dyDescent="0.3">
      <c r="A4690" s="5" t="str">
        <f>HYPERLINK("http://www.eatonpowersource.com/products/configure/industrial%20valves/details/02-412221","02-412221")</f>
        <v>02-412221</v>
      </c>
      <c r="B4690" s="6" t="s">
        <v>4649</v>
      </c>
    </row>
    <row r="4691" spans="1:2" x14ac:dyDescent="0.3">
      <c r="A4691" s="7" t="str">
        <f>HYPERLINK("http://www.eatonpowersource.com/products/configure/industrial%20valves/details/02-412243","02-412243")</f>
        <v>02-412243</v>
      </c>
      <c r="B4691" s="8" t="s">
        <v>4650</v>
      </c>
    </row>
    <row r="4692" spans="1:2" x14ac:dyDescent="0.3">
      <c r="A4692" s="5" t="str">
        <f>HYPERLINK("http://www.eatonpowersource.com/products/configure/industrial%20valves/details/02-412245","02-412245")</f>
        <v>02-412245</v>
      </c>
      <c r="B4692" s="6" t="s">
        <v>4651</v>
      </c>
    </row>
    <row r="4693" spans="1:2" x14ac:dyDescent="0.3">
      <c r="A4693" s="7" t="str">
        <f>HYPERLINK("http://www.eatonpowersource.com/products/configure/industrial%20valves/details/02-412246","02-412246")</f>
        <v>02-412246</v>
      </c>
      <c r="B4693" s="8" t="s">
        <v>4652</v>
      </c>
    </row>
    <row r="4694" spans="1:2" x14ac:dyDescent="0.3">
      <c r="A4694" s="5" t="str">
        <f>HYPERLINK("http://www.eatonpowersource.com/products/configure/industrial%20valves/details/02-412273","02-412273")</f>
        <v>02-412273</v>
      </c>
      <c r="B4694" s="6" t="s">
        <v>4653</v>
      </c>
    </row>
    <row r="4695" spans="1:2" x14ac:dyDescent="0.3">
      <c r="A4695" s="7" t="str">
        <f>HYPERLINK("http://www.eatonpowersource.com/products/configure/industrial%20valves/details/02-412274","02-412274")</f>
        <v>02-412274</v>
      </c>
      <c r="B4695" s="8" t="s">
        <v>4654</v>
      </c>
    </row>
    <row r="4696" spans="1:2" x14ac:dyDescent="0.3">
      <c r="A4696" s="5" t="str">
        <f>HYPERLINK("http://www.eatonpowersource.com/products/configure/industrial%20valves/details/02-412284","02-412284")</f>
        <v>02-412284</v>
      </c>
      <c r="B4696" s="6" t="s">
        <v>4655</v>
      </c>
    </row>
    <row r="4697" spans="1:2" x14ac:dyDescent="0.3">
      <c r="A4697" s="7" t="str">
        <f>HYPERLINK("http://www.eatonpowersource.com/products/configure/industrial%20valves/details/02-412289","02-412289")</f>
        <v>02-412289</v>
      </c>
      <c r="B4697" s="8" t="s">
        <v>4656</v>
      </c>
    </row>
    <row r="4698" spans="1:2" x14ac:dyDescent="0.3">
      <c r="A4698" s="5" t="str">
        <f>HYPERLINK("http://www.eatonpowersource.com/products/configure/industrial%20valves/details/02-412291","02-412291")</f>
        <v>02-412291</v>
      </c>
      <c r="B4698" s="6" t="s">
        <v>4657</v>
      </c>
    </row>
    <row r="4699" spans="1:2" x14ac:dyDescent="0.3">
      <c r="A4699" s="7" t="str">
        <f>HYPERLINK("http://www.eatonpowersource.com/products/configure/industrial%20valves/details/02-412292","02-412292")</f>
        <v>02-412292</v>
      </c>
      <c r="B4699" s="8" t="s">
        <v>4658</v>
      </c>
    </row>
    <row r="4700" spans="1:2" x14ac:dyDescent="0.3">
      <c r="A4700" s="5" t="str">
        <f>HYPERLINK("http://www.eatonpowersource.com/products/configure/industrial%20valves/details/02-412308","02-412308")</f>
        <v>02-412308</v>
      </c>
      <c r="B4700" s="6" t="s">
        <v>4659</v>
      </c>
    </row>
    <row r="4701" spans="1:2" x14ac:dyDescent="0.3">
      <c r="A4701" s="7" t="str">
        <f>HYPERLINK("http://www.eatonpowersource.com/products/configure/industrial%20valves/details/02-412341","02-412341")</f>
        <v>02-412341</v>
      </c>
      <c r="B4701" s="8" t="s">
        <v>4660</v>
      </c>
    </row>
    <row r="4702" spans="1:2" x14ac:dyDescent="0.3">
      <c r="A4702" s="5" t="str">
        <f>HYPERLINK("http://www.eatonpowersource.com/products/configure/industrial%20valves/details/02-412346","02-412346")</f>
        <v>02-412346</v>
      </c>
      <c r="B4702" s="6" t="s">
        <v>4661</v>
      </c>
    </row>
    <row r="4703" spans="1:2" x14ac:dyDescent="0.3">
      <c r="A4703" s="7" t="str">
        <f>HYPERLINK("http://www.eatonpowersource.com/products/configure/industrial%20valves/details/02-412354","02-412354")</f>
        <v>02-412354</v>
      </c>
      <c r="B4703" s="8" t="s">
        <v>4662</v>
      </c>
    </row>
    <row r="4704" spans="1:2" x14ac:dyDescent="0.3">
      <c r="A4704" s="5" t="str">
        <f>HYPERLINK("http://www.eatonpowersource.com/products/configure/industrial%20valves/details/02-412365","02-412365")</f>
        <v>02-412365</v>
      </c>
      <c r="B4704" s="6" t="s">
        <v>4663</v>
      </c>
    </row>
    <row r="4705" spans="1:2" x14ac:dyDescent="0.3">
      <c r="A4705" s="7" t="str">
        <f>HYPERLINK("http://www.eatonpowersource.com/products/configure/industrial%20valves/details/02-412425","02-412425")</f>
        <v>02-412425</v>
      </c>
      <c r="B4705" s="8" t="s">
        <v>4664</v>
      </c>
    </row>
    <row r="4706" spans="1:2" x14ac:dyDescent="0.3">
      <c r="A4706" s="5" t="str">
        <f>HYPERLINK("http://www.eatonpowersource.com/products/configure/industrial%20valves/details/02-412440","02-412440")</f>
        <v>02-412440</v>
      </c>
      <c r="B4706" s="6" t="s">
        <v>4665</v>
      </c>
    </row>
    <row r="4707" spans="1:2" x14ac:dyDescent="0.3">
      <c r="A4707" s="7" t="str">
        <f>HYPERLINK("http://www.eatonpowersource.com/products/configure/industrial%20valves/details/02-412443","02-412443")</f>
        <v>02-412443</v>
      </c>
      <c r="B4707" s="8" t="s">
        <v>4666</v>
      </c>
    </row>
    <row r="4708" spans="1:2" x14ac:dyDescent="0.3">
      <c r="A4708" s="5" t="str">
        <f>HYPERLINK("http://www.eatonpowersource.com/products/configure/industrial%20valves/details/02-412457","02-412457")</f>
        <v>02-412457</v>
      </c>
      <c r="B4708" s="6" t="s">
        <v>4667</v>
      </c>
    </row>
    <row r="4709" spans="1:2" x14ac:dyDescent="0.3">
      <c r="A4709" s="7" t="str">
        <f>HYPERLINK("http://www.eatonpowersource.com/products/configure/industrial%20valves/details/02-412480","02-412480")</f>
        <v>02-412480</v>
      </c>
      <c r="B4709" s="8" t="s">
        <v>4668</v>
      </c>
    </row>
    <row r="4710" spans="1:2" x14ac:dyDescent="0.3">
      <c r="A4710" s="5" t="str">
        <f>HYPERLINK("http://www.eatonpowersource.com/products/configure/industrial%20valves/details/02-412499","02-412499")</f>
        <v>02-412499</v>
      </c>
      <c r="B4710" s="6" t="s">
        <v>4669</v>
      </c>
    </row>
    <row r="4711" spans="1:2" x14ac:dyDescent="0.3">
      <c r="A4711" s="7" t="str">
        <f>HYPERLINK("http://www.eatonpowersource.com/products/configure/industrial%20valves/details/02-412500","02-412500")</f>
        <v>02-412500</v>
      </c>
      <c r="B4711" s="8" t="s">
        <v>4670</v>
      </c>
    </row>
    <row r="4712" spans="1:2" x14ac:dyDescent="0.3">
      <c r="A4712" s="5" t="str">
        <f>HYPERLINK("http://www.eatonpowersource.com/products/configure/industrial%20valves/details/02-412506","02-412506")</f>
        <v>02-412506</v>
      </c>
      <c r="B4712" s="6" t="s">
        <v>4671</v>
      </c>
    </row>
    <row r="4713" spans="1:2" x14ac:dyDescent="0.3">
      <c r="A4713" s="7" t="str">
        <f>HYPERLINK("http://www.eatonpowersource.com/products/configure/industrial%20valves/details/02-412516","02-412516")</f>
        <v>02-412516</v>
      </c>
      <c r="B4713" s="8" t="s">
        <v>4672</v>
      </c>
    </row>
    <row r="4714" spans="1:2" x14ac:dyDescent="0.3">
      <c r="A4714" s="5" t="str">
        <f>HYPERLINK("http://www.eatonpowersource.com/products/configure/industrial%20valves/details/02-412517","02-412517")</f>
        <v>02-412517</v>
      </c>
      <c r="B4714" s="6" t="s">
        <v>4673</v>
      </c>
    </row>
    <row r="4715" spans="1:2" x14ac:dyDescent="0.3">
      <c r="A4715" s="7" t="str">
        <f>HYPERLINK("http://www.eatonpowersource.com/products/configure/industrial%20valves/details/02-412522","02-412522")</f>
        <v>02-412522</v>
      </c>
      <c r="B4715" s="8" t="s">
        <v>4674</v>
      </c>
    </row>
    <row r="4716" spans="1:2" x14ac:dyDescent="0.3">
      <c r="A4716" s="5" t="str">
        <f>HYPERLINK("http://www.eatonpowersource.com/products/configure/industrial%20valves/details/02-412523","02-412523")</f>
        <v>02-412523</v>
      </c>
      <c r="B4716" s="6" t="s">
        <v>4675</v>
      </c>
    </row>
    <row r="4717" spans="1:2" x14ac:dyDescent="0.3">
      <c r="A4717" s="7" t="str">
        <f>HYPERLINK("http://www.eatonpowersource.com/products/configure/industrial%20valves/details/02-412529","02-412529")</f>
        <v>02-412529</v>
      </c>
      <c r="B4717" s="8" t="s">
        <v>4676</v>
      </c>
    </row>
    <row r="4718" spans="1:2" x14ac:dyDescent="0.3">
      <c r="A4718" s="5" t="str">
        <f>HYPERLINK("http://www.eatonpowersource.com/products/configure/industrial%20valves/details/02-412552","02-412552")</f>
        <v>02-412552</v>
      </c>
      <c r="B4718" s="6" t="s">
        <v>4677</v>
      </c>
    </row>
    <row r="4719" spans="1:2" x14ac:dyDescent="0.3">
      <c r="A4719" s="7" t="str">
        <f>HYPERLINK("http://www.eatonpowersource.com/products/configure/industrial%20valves/details/02-412571","02-412571")</f>
        <v>02-412571</v>
      </c>
      <c r="B4719" s="8" t="s">
        <v>4678</v>
      </c>
    </row>
    <row r="4720" spans="1:2" x14ac:dyDescent="0.3">
      <c r="A4720" s="5" t="str">
        <f>HYPERLINK("http://www.eatonpowersource.com/products/configure/industrial%20valves/details/02-412611","02-412611")</f>
        <v>02-412611</v>
      </c>
      <c r="B4720" s="6" t="s">
        <v>4679</v>
      </c>
    </row>
    <row r="4721" spans="1:2" x14ac:dyDescent="0.3">
      <c r="A4721" s="7" t="str">
        <f>HYPERLINK("http://www.eatonpowersource.com/products/configure/industrial%20valves/details/02-412675","02-412675")</f>
        <v>02-412675</v>
      </c>
      <c r="B4721" s="8" t="s">
        <v>4680</v>
      </c>
    </row>
    <row r="4722" spans="1:2" x14ac:dyDescent="0.3">
      <c r="A4722" s="5" t="str">
        <f>HYPERLINK("http://www.eatonpowersource.com/products/configure/industrial%20valves/details/02-412676","02-412676")</f>
        <v>02-412676</v>
      </c>
      <c r="B4722" s="6" t="s">
        <v>4681</v>
      </c>
    </row>
    <row r="4723" spans="1:2" x14ac:dyDescent="0.3">
      <c r="A4723" s="7" t="str">
        <f>HYPERLINK("http://www.eatonpowersource.com/products/configure/industrial%20valves/details/02-412693","02-412693")</f>
        <v>02-412693</v>
      </c>
      <c r="B4723" s="8" t="s">
        <v>4682</v>
      </c>
    </row>
    <row r="4724" spans="1:2" x14ac:dyDescent="0.3">
      <c r="A4724" s="5" t="str">
        <f>HYPERLINK("http://www.eatonpowersource.com/products/configure/industrial%20valves/details/02-412727","02-412727")</f>
        <v>02-412727</v>
      </c>
      <c r="B4724" s="6" t="s">
        <v>4683</v>
      </c>
    </row>
    <row r="4725" spans="1:2" x14ac:dyDescent="0.3">
      <c r="A4725" s="7" t="str">
        <f>HYPERLINK("http://www.eatonpowersource.com/products/configure/industrial%20valves/details/02-412760","02-412760")</f>
        <v>02-412760</v>
      </c>
      <c r="B4725" s="8" t="s">
        <v>4684</v>
      </c>
    </row>
    <row r="4726" spans="1:2" x14ac:dyDescent="0.3">
      <c r="A4726" s="5" t="str">
        <f>HYPERLINK("http://www.eatonpowersource.com/products/configure/industrial%20valves/details/02-412777","02-412777")</f>
        <v>02-412777</v>
      </c>
      <c r="B4726" s="6" t="s">
        <v>4685</v>
      </c>
    </row>
    <row r="4727" spans="1:2" x14ac:dyDescent="0.3">
      <c r="A4727" s="7" t="str">
        <f>HYPERLINK("http://www.eatonpowersource.com/products/configure/industrial%20valves/details/02-412779","02-412779")</f>
        <v>02-412779</v>
      </c>
      <c r="B4727" s="8" t="s">
        <v>4686</v>
      </c>
    </row>
    <row r="4728" spans="1:2" x14ac:dyDescent="0.3">
      <c r="A4728" s="5" t="str">
        <f>HYPERLINK("http://www.eatonpowersource.com/products/configure/industrial%20valves/details/02-412783","02-412783")</f>
        <v>02-412783</v>
      </c>
      <c r="B4728" s="6" t="s">
        <v>4687</v>
      </c>
    </row>
    <row r="4729" spans="1:2" x14ac:dyDescent="0.3">
      <c r="A4729" s="7" t="str">
        <f>HYPERLINK("http://www.eatonpowersource.com/products/configure/industrial%20valves/details/02-412819","02-412819")</f>
        <v>02-412819</v>
      </c>
      <c r="B4729" s="8" t="s">
        <v>4688</v>
      </c>
    </row>
    <row r="4730" spans="1:2" x14ac:dyDescent="0.3">
      <c r="A4730" s="5" t="str">
        <f>HYPERLINK("http://www.eatonpowersource.com/products/configure/industrial%20valves/details/02-412850","02-412850")</f>
        <v>02-412850</v>
      </c>
      <c r="B4730" s="6" t="s">
        <v>4689</v>
      </c>
    </row>
    <row r="4731" spans="1:2" x14ac:dyDescent="0.3">
      <c r="A4731" s="7" t="str">
        <f>HYPERLINK("http://www.eatonpowersource.com/products/configure/industrial%20valves/details/02-412886","02-412886")</f>
        <v>02-412886</v>
      </c>
      <c r="B4731" s="8" t="s">
        <v>4690</v>
      </c>
    </row>
    <row r="4732" spans="1:2" x14ac:dyDescent="0.3">
      <c r="A4732" s="5" t="str">
        <f>HYPERLINK("http://www.eatonpowersource.com/products/configure/industrial%20valves/details/02-412890","02-412890")</f>
        <v>02-412890</v>
      </c>
      <c r="B4732" s="6" t="s">
        <v>4691</v>
      </c>
    </row>
    <row r="4733" spans="1:2" x14ac:dyDescent="0.3">
      <c r="A4733" s="7" t="str">
        <f>HYPERLINK("http://www.eatonpowersource.com/products/configure/industrial%20valves/details/02-412899","02-412899")</f>
        <v>02-412899</v>
      </c>
      <c r="B4733" s="8" t="s">
        <v>4692</v>
      </c>
    </row>
    <row r="4734" spans="1:2" x14ac:dyDescent="0.3">
      <c r="A4734" s="5" t="str">
        <f>HYPERLINK("http://www.eatonpowersource.com/products/configure/industrial%20valves/details/02-412919","02-412919")</f>
        <v>02-412919</v>
      </c>
      <c r="B4734" s="6" t="s">
        <v>4693</v>
      </c>
    </row>
    <row r="4735" spans="1:2" x14ac:dyDescent="0.3">
      <c r="A4735" s="7" t="str">
        <f>HYPERLINK("http://www.eatonpowersource.com/products/configure/industrial%20valves/details/02-412969","02-412969")</f>
        <v>02-412969</v>
      </c>
      <c r="B4735" s="8" t="s">
        <v>4694</v>
      </c>
    </row>
    <row r="4736" spans="1:2" x14ac:dyDescent="0.3">
      <c r="A4736" s="5" t="str">
        <f>HYPERLINK("http://www.eatonpowersource.com/products/configure/industrial%20valves/details/02-413162","02-413162")</f>
        <v>02-413162</v>
      </c>
      <c r="B4736" s="6" t="s">
        <v>4695</v>
      </c>
    </row>
    <row r="4737" spans="1:2" x14ac:dyDescent="0.3">
      <c r="A4737" s="7" t="str">
        <f>HYPERLINK("http://www.eatonpowersource.com/products/configure/industrial%20valves/details/02-413166","02-413166")</f>
        <v>02-413166</v>
      </c>
      <c r="B4737" s="8" t="s">
        <v>4696</v>
      </c>
    </row>
    <row r="4738" spans="1:2" x14ac:dyDescent="0.3">
      <c r="A4738" s="5" t="str">
        <f>HYPERLINK("http://www.eatonpowersource.com/products/configure/industrial%20valves/details/02-413168","02-413168")</f>
        <v>02-413168</v>
      </c>
      <c r="B4738" s="6" t="s">
        <v>4697</v>
      </c>
    </row>
    <row r="4739" spans="1:2" x14ac:dyDescent="0.3">
      <c r="A4739" s="7" t="str">
        <f>HYPERLINK("http://www.eatonpowersource.com/products/configure/industrial%20valves/details/02-413170","02-413170")</f>
        <v>02-413170</v>
      </c>
      <c r="B4739" s="8" t="s">
        <v>4698</v>
      </c>
    </row>
    <row r="4740" spans="1:2" x14ac:dyDescent="0.3">
      <c r="A4740" s="5" t="str">
        <f>HYPERLINK("http://www.eatonpowersource.com/products/configure/industrial%20valves/details/02-413208","02-413208")</f>
        <v>02-413208</v>
      </c>
      <c r="B4740" s="6" t="s">
        <v>4699</v>
      </c>
    </row>
    <row r="4741" spans="1:2" x14ac:dyDescent="0.3">
      <c r="A4741" s="7" t="str">
        <f>HYPERLINK("http://www.eatonpowersource.com/products/configure/industrial%20valves/details/02-413209","02-413209")</f>
        <v>02-413209</v>
      </c>
      <c r="B4741" s="8" t="s">
        <v>4700</v>
      </c>
    </row>
    <row r="4742" spans="1:2" x14ac:dyDescent="0.3">
      <c r="A4742" s="5" t="str">
        <f>HYPERLINK("http://www.eatonpowersource.com/products/configure/industrial%20valves/details/02-413212","02-413212")</f>
        <v>02-413212</v>
      </c>
      <c r="B4742" s="6" t="s">
        <v>4701</v>
      </c>
    </row>
    <row r="4743" spans="1:2" x14ac:dyDescent="0.3">
      <c r="A4743" s="7" t="str">
        <f>HYPERLINK("http://www.eatonpowersource.com/products/configure/industrial%20valves/details/02-413227","02-413227")</f>
        <v>02-413227</v>
      </c>
      <c r="B4743" s="8" t="s">
        <v>4702</v>
      </c>
    </row>
    <row r="4744" spans="1:2" x14ac:dyDescent="0.3">
      <c r="A4744" s="5" t="str">
        <f>HYPERLINK("http://www.eatonpowersource.com/products/configure/industrial%20valves/details/02-413366","02-413366")</f>
        <v>02-413366</v>
      </c>
      <c r="B4744" s="6" t="s">
        <v>4703</v>
      </c>
    </row>
    <row r="4745" spans="1:2" x14ac:dyDescent="0.3">
      <c r="A4745" s="7" t="str">
        <f>HYPERLINK("http://www.eatonpowersource.com/products/configure/industrial%20valves/details/02-413399","02-413399")</f>
        <v>02-413399</v>
      </c>
      <c r="B4745" s="8" t="s">
        <v>4704</v>
      </c>
    </row>
    <row r="4746" spans="1:2" x14ac:dyDescent="0.3">
      <c r="A4746" s="5" t="str">
        <f>HYPERLINK("http://www.eatonpowersource.com/products/configure/industrial%20valves/details/02-413408","02-413408")</f>
        <v>02-413408</v>
      </c>
      <c r="B4746" s="6" t="s">
        <v>4705</v>
      </c>
    </row>
    <row r="4747" spans="1:2" x14ac:dyDescent="0.3">
      <c r="A4747" s="7" t="str">
        <f>HYPERLINK("http://www.eatonpowersource.com/products/configure/industrial%20valves/details/02-413658","02-413658")</f>
        <v>02-413658</v>
      </c>
      <c r="B4747" s="8" t="s">
        <v>4706</v>
      </c>
    </row>
    <row r="4748" spans="1:2" x14ac:dyDescent="0.3">
      <c r="A4748" s="5" t="str">
        <f>HYPERLINK("http://www.eatonpowersource.com/products/configure/industrial%20valves/details/02-413676","02-413676")</f>
        <v>02-413676</v>
      </c>
      <c r="B4748" s="6" t="s">
        <v>4707</v>
      </c>
    </row>
    <row r="4749" spans="1:2" x14ac:dyDescent="0.3">
      <c r="A4749" s="7" t="str">
        <f>HYPERLINK("http://www.eatonpowersource.com/products/configure/industrial%20valves/details/02-413687","02-413687")</f>
        <v>02-413687</v>
      </c>
      <c r="B4749" s="8" t="s">
        <v>4708</v>
      </c>
    </row>
    <row r="4750" spans="1:2" x14ac:dyDescent="0.3">
      <c r="A4750" s="5" t="str">
        <f>HYPERLINK("http://www.eatonpowersource.com/products/configure/industrial%20valves/details/02-413696","02-413696")</f>
        <v>02-413696</v>
      </c>
      <c r="B4750" s="6" t="s">
        <v>4709</v>
      </c>
    </row>
    <row r="4751" spans="1:2" x14ac:dyDescent="0.3">
      <c r="A4751" s="7" t="str">
        <f>HYPERLINK("http://www.eatonpowersource.com/products/configure/industrial%20valves/details/02-413830","02-413830")</f>
        <v>02-413830</v>
      </c>
      <c r="B4751" s="8" t="s">
        <v>4710</v>
      </c>
    </row>
    <row r="4752" spans="1:2" x14ac:dyDescent="0.3">
      <c r="A4752" s="5" t="str">
        <f>HYPERLINK("http://www.eatonpowersource.com/products/configure/industrial%20valves/details/02-413915","02-413915")</f>
        <v>02-413915</v>
      </c>
      <c r="B4752" s="6" t="s">
        <v>4711</v>
      </c>
    </row>
    <row r="4753" spans="1:2" x14ac:dyDescent="0.3">
      <c r="A4753" s="7" t="str">
        <f>HYPERLINK("http://www.eatonpowersource.com/products/configure/industrial%20valves/details/02-413923","02-413923")</f>
        <v>02-413923</v>
      </c>
      <c r="B4753" s="8" t="s">
        <v>4712</v>
      </c>
    </row>
    <row r="4754" spans="1:2" x14ac:dyDescent="0.3">
      <c r="A4754" s="5" t="str">
        <f>HYPERLINK("http://www.eatonpowersource.com/products/configure/industrial%20valves/details/02-413924","02-413924")</f>
        <v>02-413924</v>
      </c>
      <c r="B4754" s="6" t="s">
        <v>4713</v>
      </c>
    </row>
    <row r="4755" spans="1:2" x14ac:dyDescent="0.3">
      <c r="A4755" s="7" t="str">
        <f>HYPERLINK("http://www.eatonpowersource.com/products/configure/industrial%20valves/details/02-413931","02-413931")</f>
        <v>02-413931</v>
      </c>
      <c r="B4755" s="8" t="s">
        <v>4714</v>
      </c>
    </row>
    <row r="4756" spans="1:2" x14ac:dyDescent="0.3">
      <c r="A4756" s="5" t="str">
        <f>HYPERLINK("http://www.eatonpowersource.com/products/configure/industrial%20valves/details/02-413966","02-413966")</f>
        <v>02-413966</v>
      </c>
      <c r="B4756" s="6" t="s">
        <v>4715</v>
      </c>
    </row>
    <row r="4757" spans="1:2" x14ac:dyDescent="0.3">
      <c r="A4757" s="7" t="str">
        <f>HYPERLINK("http://www.eatonpowersource.com/products/configure/industrial%20valves/details/02-414010","02-414010")</f>
        <v>02-414010</v>
      </c>
      <c r="B4757" s="8" t="s">
        <v>4716</v>
      </c>
    </row>
    <row r="4758" spans="1:2" x14ac:dyDescent="0.3">
      <c r="A4758" s="5" t="str">
        <f>HYPERLINK("http://www.eatonpowersource.com/products/configure/industrial%20valves/details/02-414141","02-414141")</f>
        <v>02-414141</v>
      </c>
      <c r="B4758" s="6" t="s">
        <v>4717</v>
      </c>
    </row>
    <row r="4759" spans="1:2" x14ac:dyDescent="0.3">
      <c r="A4759" s="7" t="str">
        <f>HYPERLINK("http://www.eatonpowersource.com/products/configure/industrial%20valves/details/02-414167","02-414167")</f>
        <v>02-414167</v>
      </c>
      <c r="B4759" s="8" t="s">
        <v>4718</v>
      </c>
    </row>
    <row r="4760" spans="1:2" x14ac:dyDescent="0.3">
      <c r="A4760" s="5" t="str">
        <f>HYPERLINK("http://www.eatonpowersource.com/products/configure/industrial%20valves/details/02-414174","02-414174")</f>
        <v>02-414174</v>
      </c>
      <c r="B4760" s="6" t="s">
        <v>4719</v>
      </c>
    </row>
    <row r="4761" spans="1:2" x14ac:dyDescent="0.3">
      <c r="A4761" s="7" t="str">
        <f>HYPERLINK("http://www.eatonpowersource.com/products/configure/industrial%20valves/details/02-414175","02-414175")</f>
        <v>02-414175</v>
      </c>
      <c r="B4761" s="8" t="s">
        <v>4720</v>
      </c>
    </row>
    <row r="4762" spans="1:2" x14ac:dyDescent="0.3">
      <c r="A4762" s="5" t="str">
        <f>HYPERLINK("http://www.eatonpowersource.com/products/configure/industrial%20valves/details/02-414214","02-414214")</f>
        <v>02-414214</v>
      </c>
      <c r="B4762" s="6" t="s">
        <v>4721</v>
      </c>
    </row>
    <row r="4763" spans="1:2" x14ac:dyDescent="0.3">
      <c r="A4763" s="7" t="str">
        <f>HYPERLINK("http://www.eatonpowersource.com/products/configure/industrial%20valves/details/02-414215","02-414215")</f>
        <v>02-414215</v>
      </c>
      <c r="B4763" s="8" t="s">
        <v>4722</v>
      </c>
    </row>
    <row r="4764" spans="1:2" x14ac:dyDescent="0.3">
      <c r="A4764" s="5" t="str">
        <f>HYPERLINK("http://www.eatonpowersource.com/products/configure/industrial%20valves/details/02-414216","02-414216")</f>
        <v>02-414216</v>
      </c>
      <c r="B4764" s="6" t="s">
        <v>4723</v>
      </c>
    </row>
    <row r="4765" spans="1:2" x14ac:dyDescent="0.3">
      <c r="A4765" s="7" t="str">
        <f>HYPERLINK("http://www.eatonpowersource.com/products/configure/industrial%20valves/details/02-414294","02-414294")</f>
        <v>02-414294</v>
      </c>
      <c r="B4765" s="8" t="s">
        <v>4724</v>
      </c>
    </row>
    <row r="4766" spans="1:2" x14ac:dyDescent="0.3">
      <c r="A4766" s="5" t="str">
        <f>HYPERLINK("http://www.eatonpowersource.com/products/configure/industrial%20valves/details/02-414437","02-414437")</f>
        <v>02-414437</v>
      </c>
      <c r="B4766" s="6" t="s">
        <v>4725</v>
      </c>
    </row>
    <row r="4767" spans="1:2" x14ac:dyDescent="0.3">
      <c r="A4767" s="7" t="str">
        <f>HYPERLINK("http://www.eatonpowersource.com/products/configure/industrial%20valves/details/02-414440","02-414440")</f>
        <v>02-414440</v>
      </c>
      <c r="B4767" s="8" t="s">
        <v>4726</v>
      </c>
    </row>
    <row r="4768" spans="1:2" x14ac:dyDescent="0.3">
      <c r="A4768" s="5" t="str">
        <f>HYPERLINK("http://www.eatonpowersource.com/products/configure/industrial%20valves/details/02-414576","02-414576")</f>
        <v>02-414576</v>
      </c>
      <c r="B4768" s="6" t="s">
        <v>4727</v>
      </c>
    </row>
    <row r="4769" spans="1:2" x14ac:dyDescent="0.3">
      <c r="A4769" s="7" t="str">
        <f>HYPERLINK("http://www.eatonpowersource.com/products/configure/industrial%20valves/details/02-414621","02-414621")</f>
        <v>02-414621</v>
      </c>
      <c r="B4769" s="8" t="s">
        <v>4728</v>
      </c>
    </row>
    <row r="4770" spans="1:2" x14ac:dyDescent="0.3">
      <c r="A4770" s="5" t="str">
        <f>HYPERLINK("http://www.eatonpowersource.com/products/configure/industrial%20valves/details/02-414635","02-414635")</f>
        <v>02-414635</v>
      </c>
      <c r="B4770" s="6" t="s">
        <v>4729</v>
      </c>
    </row>
    <row r="4771" spans="1:2" x14ac:dyDescent="0.3">
      <c r="A4771" s="7" t="str">
        <f>HYPERLINK("http://www.eatonpowersource.com/products/configure/industrial%20valves/details/02-414692","02-414692")</f>
        <v>02-414692</v>
      </c>
      <c r="B4771" s="8" t="s">
        <v>4730</v>
      </c>
    </row>
    <row r="4772" spans="1:2" x14ac:dyDescent="0.3">
      <c r="A4772" s="5" t="str">
        <f>HYPERLINK("http://www.eatonpowersource.com/products/configure/industrial%20valves/details/02-414915","02-414915")</f>
        <v>02-414915</v>
      </c>
      <c r="B4772" s="6" t="s">
        <v>4731</v>
      </c>
    </row>
    <row r="4773" spans="1:2" x14ac:dyDescent="0.3">
      <c r="A4773" s="7" t="str">
        <f>HYPERLINK("http://www.eatonpowersource.com/products/configure/industrial%20valves/details/02-414929","02-414929")</f>
        <v>02-414929</v>
      </c>
      <c r="B4773" s="8" t="s">
        <v>4732</v>
      </c>
    </row>
    <row r="4774" spans="1:2" x14ac:dyDescent="0.3">
      <c r="A4774" s="5" t="str">
        <f>HYPERLINK("http://www.eatonpowersource.com/products/configure/industrial%20valves/details/02-414937","02-414937")</f>
        <v>02-414937</v>
      </c>
      <c r="B4774" s="6" t="s">
        <v>4733</v>
      </c>
    </row>
    <row r="4775" spans="1:2" x14ac:dyDescent="0.3">
      <c r="A4775" s="7" t="str">
        <f>HYPERLINK("http://www.eatonpowersource.com/products/configure/industrial%20valves/details/02-414954","02-414954")</f>
        <v>02-414954</v>
      </c>
      <c r="B4775" s="8" t="s">
        <v>4734</v>
      </c>
    </row>
    <row r="4776" spans="1:2" x14ac:dyDescent="0.3">
      <c r="A4776" s="5" t="str">
        <f>HYPERLINK("http://www.eatonpowersource.com/products/configure/industrial%20valves/details/02-414962","02-414962")</f>
        <v>02-414962</v>
      </c>
      <c r="B4776" s="6" t="s">
        <v>4735</v>
      </c>
    </row>
    <row r="4777" spans="1:2" x14ac:dyDescent="0.3">
      <c r="A4777" s="7" t="str">
        <f>HYPERLINK("http://www.eatonpowersource.com/products/configure/industrial%20valves/details/02-414967","02-414967")</f>
        <v>02-414967</v>
      </c>
      <c r="B4777" s="8" t="s">
        <v>4736</v>
      </c>
    </row>
    <row r="4778" spans="1:2" x14ac:dyDescent="0.3">
      <c r="A4778" s="5" t="str">
        <f>HYPERLINK("http://www.eatonpowersource.com/products/configure/industrial%20valves/details/02-414969","02-414969")</f>
        <v>02-414969</v>
      </c>
      <c r="B4778" s="6" t="s">
        <v>4737</v>
      </c>
    </row>
    <row r="4779" spans="1:2" x14ac:dyDescent="0.3">
      <c r="A4779" s="7" t="str">
        <f>HYPERLINK("http://www.eatonpowersource.com/products/configure/industrial%20valves/details/565260","565260")</f>
        <v>565260</v>
      </c>
      <c r="B4779" s="8" t="s">
        <v>4738</v>
      </c>
    </row>
    <row r="4780" spans="1:2" x14ac:dyDescent="0.3">
      <c r="A4780" s="5" t="str">
        <f>HYPERLINK("http://www.eatonpowersource.com/products/configure/industrial%20valves/details/565264","565264")</f>
        <v>565264</v>
      </c>
      <c r="B4780" s="6" t="s">
        <v>4739</v>
      </c>
    </row>
    <row r="4781" spans="1:2" x14ac:dyDescent="0.3">
      <c r="A4781" s="7" t="str">
        <f>HYPERLINK("http://www.eatonpowersource.com/products/configure/industrial%20valves/details/565319","565319")</f>
        <v>565319</v>
      </c>
      <c r="B4781" s="8" t="s">
        <v>4740</v>
      </c>
    </row>
    <row r="4782" spans="1:2" x14ac:dyDescent="0.3">
      <c r="A4782" s="5" t="str">
        <f>HYPERLINK("http://www.eatonpowersource.com/products/configure/industrial%20valves/details/565320","565320")</f>
        <v>565320</v>
      </c>
      <c r="B4782" s="6" t="s">
        <v>4741</v>
      </c>
    </row>
    <row r="4783" spans="1:2" x14ac:dyDescent="0.3">
      <c r="A4783" s="7" t="str">
        <f>HYPERLINK("http://www.eatonpowersource.com/products/configure/industrial%20valves/details/565321","565321")</f>
        <v>565321</v>
      </c>
      <c r="B4783" s="8" t="s">
        <v>4742</v>
      </c>
    </row>
    <row r="4784" spans="1:2" x14ac:dyDescent="0.3">
      <c r="A4784" s="5" t="str">
        <f>HYPERLINK("http://www.eatonpowersource.com/products/configure/industrial%20valves/details/565322","565322")</f>
        <v>565322</v>
      </c>
      <c r="B4784" s="6" t="s">
        <v>4743</v>
      </c>
    </row>
    <row r="4785" spans="1:2" x14ac:dyDescent="0.3">
      <c r="A4785" s="7" t="str">
        <f>HYPERLINK("http://www.eatonpowersource.com/products/configure/industrial%20valves/details/565323","565323")</f>
        <v>565323</v>
      </c>
      <c r="B4785" s="8" t="s">
        <v>4744</v>
      </c>
    </row>
    <row r="4786" spans="1:2" x14ac:dyDescent="0.3">
      <c r="A4786" s="5" t="str">
        <f>HYPERLINK("http://www.eatonpowersource.com/products/configure/industrial%20valves/details/565325","565325")</f>
        <v>565325</v>
      </c>
      <c r="B4786" s="6" t="s">
        <v>4745</v>
      </c>
    </row>
    <row r="4787" spans="1:2" x14ac:dyDescent="0.3">
      <c r="A4787" s="7" t="str">
        <f>HYPERLINK("http://www.eatonpowersource.com/products/configure/industrial%20valves/details/565327","565327")</f>
        <v>565327</v>
      </c>
      <c r="B4787" s="8" t="s">
        <v>4746</v>
      </c>
    </row>
    <row r="4788" spans="1:2" x14ac:dyDescent="0.3">
      <c r="A4788" s="5" t="str">
        <f>HYPERLINK("http://www.eatonpowersource.com/products/configure/industrial%20valves/details/565328","565328")</f>
        <v>565328</v>
      </c>
      <c r="B4788" s="6" t="s">
        <v>4747</v>
      </c>
    </row>
    <row r="4789" spans="1:2" x14ac:dyDescent="0.3">
      <c r="A4789" s="7" t="str">
        <f>HYPERLINK("http://www.eatonpowersource.com/products/configure/industrial%20valves/details/565329","565329")</f>
        <v>565329</v>
      </c>
      <c r="B4789" s="8" t="s">
        <v>4748</v>
      </c>
    </row>
    <row r="4790" spans="1:2" x14ac:dyDescent="0.3">
      <c r="A4790" s="5" t="str">
        <f>HYPERLINK("http://www.eatonpowersource.com/products/configure/industrial%20valves/details/565330","565330")</f>
        <v>565330</v>
      </c>
      <c r="B4790" s="6" t="s">
        <v>4749</v>
      </c>
    </row>
    <row r="4791" spans="1:2" x14ac:dyDescent="0.3">
      <c r="A4791" s="7" t="str">
        <f>HYPERLINK("http://www.eatonpowersource.com/products/configure/industrial%20valves/details/565331","565331")</f>
        <v>565331</v>
      </c>
      <c r="B4791" s="8" t="s">
        <v>4750</v>
      </c>
    </row>
    <row r="4792" spans="1:2" x14ac:dyDescent="0.3">
      <c r="A4792" s="5" t="str">
        <f>HYPERLINK("http://www.eatonpowersource.com/products/configure/industrial%20valves/details/565332","565332")</f>
        <v>565332</v>
      </c>
      <c r="B4792" s="6" t="s">
        <v>4751</v>
      </c>
    </row>
    <row r="4793" spans="1:2" x14ac:dyDescent="0.3">
      <c r="A4793" s="7" t="str">
        <f>HYPERLINK("http://www.eatonpowersource.com/products/configure/industrial%20valves/details/565333","565333")</f>
        <v>565333</v>
      </c>
      <c r="B4793" s="8" t="s">
        <v>4752</v>
      </c>
    </row>
    <row r="4794" spans="1:2" x14ac:dyDescent="0.3">
      <c r="A4794" s="5" t="str">
        <f>HYPERLINK("http://www.eatonpowersource.com/products/configure/industrial%20valves/details/565334","565334")</f>
        <v>565334</v>
      </c>
      <c r="B4794" s="6" t="s">
        <v>4753</v>
      </c>
    </row>
    <row r="4795" spans="1:2" x14ac:dyDescent="0.3">
      <c r="A4795" s="7" t="str">
        <f>HYPERLINK("http://www.eatonpowersource.com/products/configure/industrial%20valves/details/565372","565372")</f>
        <v>565372</v>
      </c>
      <c r="B4795" s="8" t="s">
        <v>4754</v>
      </c>
    </row>
    <row r="4796" spans="1:2" x14ac:dyDescent="0.3">
      <c r="A4796" s="5" t="str">
        <f>HYPERLINK("http://www.eatonpowersource.com/products/configure/industrial%20valves/details/565373","565373")</f>
        <v>565373</v>
      </c>
      <c r="B4796" s="6" t="s">
        <v>4755</v>
      </c>
    </row>
    <row r="4797" spans="1:2" x14ac:dyDescent="0.3">
      <c r="A4797" s="7" t="str">
        <f>HYPERLINK("http://www.eatonpowersource.com/products/configure/industrial%20valves/details/565374","565374")</f>
        <v>565374</v>
      </c>
      <c r="B4797" s="8" t="s">
        <v>4756</v>
      </c>
    </row>
    <row r="4798" spans="1:2" x14ac:dyDescent="0.3">
      <c r="A4798" s="5" t="str">
        <f>HYPERLINK("http://www.eatonpowersource.com/products/configure/industrial%20valves/details/565375","565375")</f>
        <v>565375</v>
      </c>
      <c r="B4798" s="6" t="s">
        <v>4757</v>
      </c>
    </row>
    <row r="4799" spans="1:2" x14ac:dyDescent="0.3">
      <c r="A4799" s="7" t="str">
        <f>HYPERLINK("http://www.eatonpowersource.com/products/configure/industrial%20valves/details/565376","565376")</f>
        <v>565376</v>
      </c>
      <c r="B4799" s="8" t="s">
        <v>4758</v>
      </c>
    </row>
    <row r="4800" spans="1:2" x14ac:dyDescent="0.3">
      <c r="A4800" s="5" t="str">
        <f>HYPERLINK("http://www.eatonpowersource.com/products/configure/industrial%20valves/details/565377","565377")</f>
        <v>565377</v>
      </c>
      <c r="B4800" s="6" t="s">
        <v>4759</v>
      </c>
    </row>
    <row r="4801" spans="1:2" x14ac:dyDescent="0.3">
      <c r="A4801" s="7" t="str">
        <f>HYPERLINK("http://www.eatonpowersource.com/products/configure/industrial%20valves/details/565378","565378")</f>
        <v>565378</v>
      </c>
      <c r="B4801" s="8" t="s">
        <v>4760</v>
      </c>
    </row>
    <row r="4802" spans="1:2" x14ac:dyDescent="0.3">
      <c r="A4802" s="5" t="str">
        <f>HYPERLINK("http://www.eatonpowersource.com/products/configure/industrial%20valves/details/565381","565381")</f>
        <v>565381</v>
      </c>
      <c r="B4802" s="6" t="s">
        <v>4761</v>
      </c>
    </row>
    <row r="4803" spans="1:2" x14ac:dyDescent="0.3">
      <c r="A4803" s="7" t="str">
        <f>HYPERLINK("http://www.eatonpowersource.com/products/configure/industrial%20valves/details/565382","565382")</f>
        <v>565382</v>
      </c>
      <c r="B4803" s="8" t="s">
        <v>4762</v>
      </c>
    </row>
    <row r="4804" spans="1:2" x14ac:dyDescent="0.3">
      <c r="A4804" s="5" t="str">
        <f>HYPERLINK("http://www.eatonpowersource.com/products/configure/industrial%20valves/details/565383","565383")</f>
        <v>565383</v>
      </c>
      <c r="B4804" s="6" t="s">
        <v>4763</v>
      </c>
    </row>
    <row r="4805" spans="1:2" x14ac:dyDescent="0.3">
      <c r="A4805" s="7" t="str">
        <f>HYPERLINK("http://www.eatonpowersource.com/products/configure/industrial%20valves/details/565384","565384")</f>
        <v>565384</v>
      </c>
      <c r="B4805" s="8" t="s">
        <v>4764</v>
      </c>
    </row>
    <row r="4806" spans="1:2" x14ac:dyDescent="0.3">
      <c r="A4806" s="5" t="str">
        <f>HYPERLINK("http://www.eatonpowersource.com/products/configure/industrial%20valves/details/565386","565386")</f>
        <v>565386</v>
      </c>
      <c r="B4806" s="6" t="s">
        <v>4765</v>
      </c>
    </row>
    <row r="4807" spans="1:2" x14ac:dyDescent="0.3">
      <c r="A4807" s="7" t="str">
        <f>HYPERLINK("http://www.eatonpowersource.com/products/configure/industrial%20valves/details/565387","565387")</f>
        <v>565387</v>
      </c>
      <c r="B4807" s="8" t="s">
        <v>4766</v>
      </c>
    </row>
    <row r="4808" spans="1:2" x14ac:dyDescent="0.3">
      <c r="A4808" s="5" t="str">
        <f>HYPERLINK("http://www.eatonpowersource.com/products/configure/industrial%20valves/details/565388","565388")</f>
        <v>565388</v>
      </c>
      <c r="B4808" s="6" t="s">
        <v>4767</v>
      </c>
    </row>
    <row r="4809" spans="1:2" x14ac:dyDescent="0.3">
      <c r="A4809" s="7" t="str">
        <f>HYPERLINK("http://www.eatonpowersource.com/products/configure/industrial%20valves/details/565389","565389")</f>
        <v>565389</v>
      </c>
      <c r="B4809" s="8" t="s">
        <v>4768</v>
      </c>
    </row>
    <row r="4810" spans="1:2" x14ac:dyDescent="0.3">
      <c r="A4810" s="5" t="str">
        <f>HYPERLINK("http://www.eatonpowersource.com/products/configure/industrial%20valves/details/565390","565390")</f>
        <v>565390</v>
      </c>
      <c r="B4810" s="6" t="s">
        <v>4769</v>
      </c>
    </row>
    <row r="4811" spans="1:2" x14ac:dyDescent="0.3">
      <c r="A4811" s="7" t="str">
        <f>HYPERLINK("http://www.eatonpowersource.com/products/configure/industrial%20valves/details/565391","565391")</f>
        <v>565391</v>
      </c>
      <c r="B4811" s="8" t="s">
        <v>4770</v>
      </c>
    </row>
    <row r="4812" spans="1:2" x14ac:dyDescent="0.3">
      <c r="A4812" s="5" t="str">
        <f>HYPERLINK("http://www.eatonpowersource.com/products/configure/industrial%20valves/details/565440","565440")</f>
        <v>565440</v>
      </c>
      <c r="B4812" s="6" t="s">
        <v>4771</v>
      </c>
    </row>
    <row r="4813" spans="1:2" x14ac:dyDescent="0.3">
      <c r="A4813" s="7" t="str">
        <f>HYPERLINK("http://www.eatonpowersource.com/products/configure/industrial%20valves/details/565459","565459")</f>
        <v>565459</v>
      </c>
      <c r="B4813" s="8" t="s">
        <v>4772</v>
      </c>
    </row>
    <row r="4814" spans="1:2" x14ac:dyDescent="0.3">
      <c r="A4814" s="5" t="str">
        <f>HYPERLINK("http://www.eatonpowersource.com/products/configure/industrial%20valves/details/565460","565460")</f>
        <v>565460</v>
      </c>
      <c r="B4814" s="6" t="s">
        <v>4773</v>
      </c>
    </row>
    <row r="4815" spans="1:2" x14ac:dyDescent="0.3">
      <c r="A4815" s="7" t="str">
        <f>HYPERLINK("http://www.eatonpowersource.com/products/configure/industrial%20valves/details/565461","565461")</f>
        <v>565461</v>
      </c>
      <c r="B4815" s="8" t="s">
        <v>4774</v>
      </c>
    </row>
    <row r="4816" spans="1:2" x14ac:dyDescent="0.3">
      <c r="A4816" s="5" t="str">
        <f>HYPERLINK("http://www.eatonpowersource.com/products/configure/industrial%20valves/details/565462","565462")</f>
        <v>565462</v>
      </c>
      <c r="B4816" s="6" t="s">
        <v>4775</v>
      </c>
    </row>
    <row r="4817" spans="1:2" x14ac:dyDescent="0.3">
      <c r="A4817" s="7" t="str">
        <f>HYPERLINK("http://www.eatonpowersource.com/products/configure/industrial%20valves/details/565463","565463")</f>
        <v>565463</v>
      </c>
      <c r="B4817" s="8" t="s">
        <v>4776</v>
      </c>
    </row>
    <row r="4818" spans="1:2" x14ac:dyDescent="0.3">
      <c r="A4818" s="5" t="str">
        <f>HYPERLINK("http://www.eatonpowersource.com/products/configure/industrial%20valves/details/565464","565464")</f>
        <v>565464</v>
      </c>
      <c r="B4818" s="6" t="s">
        <v>4777</v>
      </c>
    </row>
    <row r="4819" spans="1:2" x14ac:dyDescent="0.3">
      <c r="A4819" s="7" t="str">
        <f>HYPERLINK("http://www.eatonpowersource.com/products/configure/industrial%20valves/details/5992552-001","5992552-001")</f>
        <v>5992552-001</v>
      </c>
      <c r="B4819" s="8" t="s">
        <v>4778</v>
      </c>
    </row>
    <row r="4820" spans="1:2" x14ac:dyDescent="0.3">
      <c r="A4820" s="5" t="str">
        <f>HYPERLINK("http://www.eatonpowersource.com/products/configure/industrial%20valves/details/5992987-001","5992987-001")</f>
        <v>5992987-001</v>
      </c>
      <c r="B4820" s="6" t="s">
        <v>4779</v>
      </c>
    </row>
    <row r="4821" spans="1:2" x14ac:dyDescent="0.3">
      <c r="A4821" s="7" t="str">
        <f>HYPERLINK("http://www.eatonpowersource.com/products/configure/industrial%20valves/details/5992998-001","5992998-001")</f>
        <v>5992998-001</v>
      </c>
      <c r="B4821" s="8" t="s">
        <v>4780</v>
      </c>
    </row>
    <row r="4822" spans="1:2" x14ac:dyDescent="0.3">
      <c r="A4822" s="5" t="str">
        <f>HYPERLINK("http://www.eatonpowersource.com/products/configure/industrial%20valves/details/5993587-001","5993587-001")</f>
        <v>5993587-001</v>
      </c>
      <c r="B4822" s="6" t="s">
        <v>4781</v>
      </c>
    </row>
    <row r="4823" spans="1:2" x14ac:dyDescent="0.3">
      <c r="A4823" s="7" t="str">
        <f>HYPERLINK("http://www.eatonpowersource.com/products/configure/industrial%20valves/details/6024812-001","6024812-001")</f>
        <v>6024812-001</v>
      </c>
      <c r="B4823" s="8" t="s">
        <v>4782</v>
      </c>
    </row>
    <row r="4824" spans="1:2" x14ac:dyDescent="0.3">
      <c r="A4824" s="5" t="str">
        <f>HYPERLINK("http://www.eatonpowersource.com/products/configure/industrial%20valves/details/6036499-001","6036499-001")</f>
        <v>6036499-001</v>
      </c>
      <c r="B4824" s="6" t="s">
        <v>4783</v>
      </c>
    </row>
    <row r="4825" spans="1:2" x14ac:dyDescent="0.3">
      <c r="A4825" s="7" t="str">
        <f>HYPERLINK("http://www.eatonpowersource.com/products/configure/industrial%20valves/details/6037791-001","6037791-001")</f>
        <v>6037791-001</v>
      </c>
      <c r="B4825" s="8" t="s">
        <v>4784</v>
      </c>
    </row>
    <row r="4826" spans="1:2" x14ac:dyDescent="0.3">
      <c r="A4826" s="5" t="str">
        <f>HYPERLINK("http://www.eatonpowersource.com/products/configure/industrial%20valves/details/6039928-001","6039928-001")</f>
        <v>6039928-001</v>
      </c>
      <c r="B4826" s="6" t="s">
        <v>4785</v>
      </c>
    </row>
    <row r="4827" spans="1:2" x14ac:dyDescent="0.3">
      <c r="A4827" s="7" t="str">
        <f>HYPERLINK("http://www.eatonpowersource.com/products/configure/industrial%20valves/details/6039929-001","6039929-001")</f>
        <v>6039929-001</v>
      </c>
      <c r="B4827" s="8" t="s">
        <v>4786</v>
      </c>
    </row>
    <row r="4828" spans="1:2" x14ac:dyDescent="0.3">
      <c r="A4828" s="5" t="str">
        <f>HYPERLINK("http://www.eatonpowersource.com/products/configure/industrial%20valves/details/6039930-001","6039930-001")</f>
        <v>6039930-001</v>
      </c>
      <c r="B4828" s="6" t="s">
        <v>4787</v>
      </c>
    </row>
    <row r="4829" spans="1:2" x14ac:dyDescent="0.3">
      <c r="A4829" s="7" t="str">
        <f>HYPERLINK("http://www.eatonpowersource.com/products/configure/industrial%20valves/details/6039931-001","6039931-001")</f>
        <v>6039931-001</v>
      </c>
      <c r="B4829" s="8" t="s">
        <v>4788</v>
      </c>
    </row>
    <row r="4830" spans="1:2" x14ac:dyDescent="0.3">
      <c r="A4830" s="5" t="str">
        <f>HYPERLINK("http://www.eatonpowersource.com/products/configure/industrial%20valves/details/6039932-001","6039932-001")</f>
        <v>6039932-001</v>
      </c>
      <c r="B4830" s="6" t="s">
        <v>4789</v>
      </c>
    </row>
    <row r="4831" spans="1:2" x14ac:dyDescent="0.3">
      <c r="A4831" s="7" t="str">
        <f>HYPERLINK("http://www.eatonpowersource.com/products/configure/industrial%20valves/details/6039933-001","6039933-001")</f>
        <v>6039933-001</v>
      </c>
      <c r="B4831" s="8" t="s">
        <v>4790</v>
      </c>
    </row>
    <row r="4832" spans="1:2" x14ac:dyDescent="0.3">
      <c r="A4832" s="5" t="str">
        <f>HYPERLINK("http://www.eatonpowersource.com/products/configure/industrial%20valves/details/6039935-001","6039935-001")</f>
        <v>6039935-001</v>
      </c>
      <c r="B4832" s="6" t="s">
        <v>4791</v>
      </c>
    </row>
    <row r="4833" spans="1:2" x14ac:dyDescent="0.3">
      <c r="A4833" s="7" t="str">
        <f>HYPERLINK("http://www.eatonpowersource.com/products/configure/industrial%20valves/details/6040210-001","6040210-001")</f>
        <v>6040210-001</v>
      </c>
      <c r="B4833" s="8" t="s">
        <v>4792</v>
      </c>
    </row>
    <row r="4834" spans="1:2" x14ac:dyDescent="0.3">
      <c r="A4834" s="5" t="str">
        <f>HYPERLINK("http://www.eatonpowersource.com/products/configure/industrial%20valves/details/6041384-001","6041384-001")</f>
        <v>6041384-001</v>
      </c>
      <c r="B4834" s="6" t="s">
        <v>4793</v>
      </c>
    </row>
    <row r="4835" spans="1:2" x14ac:dyDescent="0.3">
      <c r="A4835" s="7" t="str">
        <f>HYPERLINK("http://www.eatonpowersource.com/products/configure/industrial%20valves/details/6042500-001","6042500-001")</f>
        <v>6042500-001</v>
      </c>
      <c r="B4835" s="8" t="s">
        <v>4794</v>
      </c>
    </row>
    <row r="4836" spans="1:2" x14ac:dyDescent="0.3">
      <c r="A4836" s="5" t="str">
        <f>HYPERLINK("http://www.eatonpowersource.com/products/configure/industrial%20valves/details/6042789-001","6042789-001")</f>
        <v>6042789-001</v>
      </c>
      <c r="B4836" s="6" t="s">
        <v>4795</v>
      </c>
    </row>
    <row r="4837" spans="1:2" x14ac:dyDescent="0.3">
      <c r="A4837" s="7" t="str">
        <f>HYPERLINK("http://www.eatonpowersource.com/products/configure/industrial%20valves/details/6043214-001","6043214-001")</f>
        <v>6043214-001</v>
      </c>
      <c r="B4837" s="8" t="s">
        <v>4796</v>
      </c>
    </row>
    <row r="4838" spans="1:2" x14ac:dyDescent="0.3">
      <c r="A4838" s="5" t="str">
        <f>HYPERLINK("http://www.eatonpowersource.com/products/configure/industrial%20valves/details/6044455-001","6044455-001")</f>
        <v>6044455-001</v>
      </c>
      <c r="B4838" s="6" t="s">
        <v>4797</v>
      </c>
    </row>
    <row r="4839" spans="1:2" x14ac:dyDescent="0.3">
      <c r="A4839" s="7" t="str">
        <f>HYPERLINK("http://www.eatonpowersource.com/products/configure/industrial%20valves/details/6045769-001","6045769-001")</f>
        <v>6045769-001</v>
      </c>
      <c r="B4839" s="8" t="s">
        <v>4798</v>
      </c>
    </row>
    <row r="4840" spans="1:2" x14ac:dyDescent="0.3">
      <c r="A4840" s="5" t="str">
        <f>HYPERLINK("http://www.eatonpowersource.com/products/configure/industrial%20valves/details/821an00005c","821AN00005C")</f>
        <v>821AN00005C</v>
      </c>
      <c r="B4840" s="6" t="s">
        <v>4799</v>
      </c>
    </row>
    <row r="4841" spans="1:2" x14ac:dyDescent="0.3">
      <c r="A4841" s="7" t="str">
        <f>HYPERLINK("http://www.eatonpowersource.com/products/configure/industrial%20valves/details/821an00007c","821AN00007C")</f>
        <v>821AN00007C</v>
      </c>
      <c r="B4841" s="8" t="s">
        <v>4800</v>
      </c>
    </row>
    <row r="4842" spans="1:2" x14ac:dyDescent="0.3">
      <c r="A4842" s="5" t="str">
        <f>HYPERLINK("http://www.eatonpowersource.com/products/configure/industrial%20valves/details/821an00008c","821AN00008C")</f>
        <v>821AN00008C</v>
      </c>
      <c r="B4842" s="6" t="s">
        <v>4801</v>
      </c>
    </row>
    <row r="4843" spans="1:2" x14ac:dyDescent="0.3">
      <c r="A4843" s="7" t="str">
        <f>HYPERLINK("http://www.eatonpowersource.com/products/configure/industrial%20valves/details/821an00014c","821AN00014C")</f>
        <v>821AN00014C</v>
      </c>
      <c r="B4843" s="8" t="s">
        <v>4802</v>
      </c>
    </row>
    <row r="4844" spans="1:2" x14ac:dyDescent="0.3">
      <c r="A4844" s="5" t="str">
        <f>HYPERLINK("http://www.eatonpowersource.com/products/configure/industrial%20valves/details/821an00021c","821AN00021C")</f>
        <v>821AN00021C</v>
      </c>
      <c r="B4844" s="6" t="s">
        <v>4803</v>
      </c>
    </row>
    <row r="4845" spans="1:2" x14ac:dyDescent="0.3">
      <c r="A4845" s="7" t="str">
        <f>HYPERLINK("http://www.eatonpowersource.com/products/configure/industrial%20valves/details/821an00028c","821AN00028C")</f>
        <v>821AN00028C</v>
      </c>
      <c r="B4845" s="8" t="s">
        <v>4804</v>
      </c>
    </row>
    <row r="4846" spans="1:2" x14ac:dyDescent="0.3">
      <c r="A4846" s="5" t="str">
        <f>HYPERLINK("http://www.eatonpowersource.com/products/configure/industrial%20valves/details/821an00035a","821AN00035A")</f>
        <v>821AN00035A</v>
      </c>
      <c r="B4846" s="6" t="s">
        <v>4805</v>
      </c>
    </row>
    <row r="4847" spans="1:2" x14ac:dyDescent="0.3">
      <c r="A4847" s="7" t="str">
        <f>HYPERLINK("http://www.eatonpowersource.com/products/configure/industrial%20valves/details/821an00041c","821AN00041C")</f>
        <v>821AN00041C</v>
      </c>
      <c r="B4847" s="8" t="s">
        <v>4806</v>
      </c>
    </row>
    <row r="4848" spans="1:2" x14ac:dyDescent="0.3">
      <c r="A4848" s="5" t="str">
        <f>HYPERLINK("http://www.eatonpowersource.com/products/configure/industrial%20valves/details/821an00042c","821AN00042C")</f>
        <v>821AN00042C</v>
      </c>
      <c r="B4848" s="6" t="s">
        <v>4807</v>
      </c>
    </row>
    <row r="4849" spans="1:2" x14ac:dyDescent="0.3">
      <c r="A4849" s="7" t="str">
        <f>HYPERLINK("http://www.eatonpowersource.com/products/configure/industrial%20valves/details/821an00043c","821AN00043C")</f>
        <v>821AN00043C</v>
      </c>
      <c r="B4849" s="8" t="s">
        <v>4808</v>
      </c>
    </row>
    <row r="4850" spans="1:2" x14ac:dyDescent="0.3">
      <c r="A4850" s="5" t="str">
        <f>HYPERLINK("http://www.eatonpowersource.com/products/configure/industrial%20valves/details/821an00045c","821AN00045C")</f>
        <v>821AN00045C</v>
      </c>
      <c r="B4850" s="6" t="s">
        <v>4809</v>
      </c>
    </row>
    <row r="4851" spans="1:2" x14ac:dyDescent="0.3">
      <c r="A4851" s="7" t="str">
        <f>HYPERLINK("http://www.eatonpowersource.com/products/configure/industrial%20valves/details/822an00002a","822AN00002A")</f>
        <v>822AN00002A</v>
      </c>
      <c r="B4851" s="8" t="s">
        <v>4810</v>
      </c>
    </row>
    <row r="4852" spans="1:2" x14ac:dyDescent="0.3">
      <c r="A4852" s="5" t="str">
        <f>HYPERLINK("http://www.eatonpowersource.com/products/configure/industrial%20valves/details/822an00005a","822AN00005A")</f>
        <v>822AN00005A</v>
      </c>
      <c r="B4852" s="6" t="s">
        <v>4811</v>
      </c>
    </row>
    <row r="4853" spans="1:2" x14ac:dyDescent="0.3">
      <c r="A4853" s="7" t="str">
        <f>HYPERLINK("http://www.eatonpowersource.com/products/configure/industrial%20valves/details/822an00009a","822AN00009A")</f>
        <v>822AN00009A</v>
      </c>
      <c r="B4853" s="8" t="s">
        <v>4812</v>
      </c>
    </row>
    <row r="4854" spans="1:2" x14ac:dyDescent="0.3">
      <c r="A4854" s="5" t="str">
        <f>HYPERLINK("http://www.eatonpowersource.com/products/configure/industrial%20valves/details/822an00010a","822AN00010A")</f>
        <v>822AN00010A</v>
      </c>
      <c r="B4854" s="6" t="s">
        <v>4813</v>
      </c>
    </row>
    <row r="4855" spans="1:2" x14ac:dyDescent="0.3">
      <c r="A4855" s="7" t="str">
        <f>HYPERLINK("http://www.eatonpowersource.com/products/configure/industrial%20valves/details/822an00012a","822AN00012A")</f>
        <v>822AN00012A</v>
      </c>
      <c r="B4855" s="8" t="s">
        <v>4814</v>
      </c>
    </row>
    <row r="4856" spans="1:2" x14ac:dyDescent="0.3">
      <c r="A4856" s="5" t="str">
        <f>HYPERLINK("http://www.eatonpowersource.com/products/configure/industrial%20valves/details/822an00015a","822AN00015A")</f>
        <v>822AN00015A</v>
      </c>
      <c r="B4856" s="6" t="s">
        <v>4815</v>
      </c>
    </row>
    <row r="4857" spans="1:2" x14ac:dyDescent="0.3">
      <c r="A4857" s="7" t="str">
        <f>HYPERLINK("http://www.eatonpowersource.com/products/configure/industrial%20valves/details/822an00017a","822AN00017A")</f>
        <v>822AN00017A</v>
      </c>
      <c r="B4857" s="8" t="s">
        <v>4816</v>
      </c>
    </row>
    <row r="4858" spans="1:2" x14ac:dyDescent="0.3">
      <c r="A4858" s="5" t="str">
        <f>HYPERLINK("http://www.eatonpowersource.com/products/configure/industrial%20valves/details/822an00018a","822AN00018A")</f>
        <v>822AN00018A</v>
      </c>
      <c r="B4858" s="6" t="s">
        <v>4817</v>
      </c>
    </row>
    <row r="4859" spans="1:2" x14ac:dyDescent="0.3">
      <c r="A4859" s="7" t="str">
        <f>HYPERLINK("http://www.eatonpowersource.com/products/configure/industrial%20valves/details/822an00019a","822AN00019A")</f>
        <v>822AN00019A</v>
      </c>
      <c r="B4859" s="8" t="s">
        <v>4818</v>
      </c>
    </row>
    <row r="4860" spans="1:2" x14ac:dyDescent="0.3">
      <c r="A4860" s="5" t="str">
        <f>HYPERLINK("http://www.eatonpowersource.com/products/configure/industrial%20valves/details/822an00022a","822AN00022A")</f>
        <v>822AN00022A</v>
      </c>
      <c r="B4860" s="6" t="s">
        <v>4819</v>
      </c>
    </row>
    <row r="4861" spans="1:2" x14ac:dyDescent="0.3">
      <c r="A4861" s="7" t="str">
        <f>HYPERLINK("http://www.eatonpowersource.com/products/configure/industrial%20valves/details/822an00025a","822AN00025A")</f>
        <v>822AN00025A</v>
      </c>
      <c r="B4861" s="8" t="s">
        <v>4820</v>
      </c>
    </row>
    <row r="4862" spans="1:2" x14ac:dyDescent="0.3">
      <c r="A4862" s="5" t="str">
        <f>HYPERLINK("http://www.eatonpowersource.com/products/configure/industrial%20valves/details/822an00028a","822AN00028A")</f>
        <v>822AN00028A</v>
      </c>
      <c r="B4862" s="6" t="s">
        <v>4821</v>
      </c>
    </row>
    <row r="4863" spans="1:2" x14ac:dyDescent="0.3">
      <c r="A4863" s="7" t="str">
        <f>HYPERLINK("http://www.eatonpowersource.com/products/configure/industrial%20valves/details/822an00030a","822AN00030A")</f>
        <v>822AN00030A</v>
      </c>
      <c r="B4863" s="8" t="s">
        <v>4822</v>
      </c>
    </row>
    <row r="4864" spans="1:2" x14ac:dyDescent="0.3">
      <c r="A4864" s="5" t="str">
        <f>HYPERLINK("http://www.eatonpowersource.com/products/configure/industrial%20valves/details/822an00034a","822AN00034A")</f>
        <v>822AN00034A</v>
      </c>
      <c r="B4864" s="6" t="s">
        <v>4823</v>
      </c>
    </row>
    <row r="4865" spans="1:2" x14ac:dyDescent="0.3">
      <c r="A4865" s="7" t="str">
        <f>HYPERLINK("http://www.eatonpowersource.com/products/configure/industrial%20valves/details/822an00035a","822AN00035A")</f>
        <v>822AN00035A</v>
      </c>
      <c r="B4865" s="8" t="s">
        <v>4824</v>
      </c>
    </row>
    <row r="4866" spans="1:2" x14ac:dyDescent="0.3">
      <c r="A4866" s="5" t="str">
        <f>HYPERLINK("http://www.eatonpowersource.com/products/configure/industrial%20valves/details/822an00037a","822AN00037A")</f>
        <v>822AN00037A</v>
      </c>
      <c r="B4866" s="6" t="s">
        <v>4825</v>
      </c>
    </row>
    <row r="4867" spans="1:2" x14ac:dyDescent="0.3">
      <c r="A4867" s="7" t="str">
        <f>HYPERLINK("http://www.eatonpowersource.com/products/configure/industrial%20valves/details/822an00038a","822AN00038A")</f>
        <v>822AN00038A</v>
      </c>
      <c r="B4867" s="8" t="s">
        <v>4826</v>
      </c>
    </row>
    <row r="4868" spans="1:2" x14ac:dyDescent="0.3">
      <c r="A4868" s="5" t="str">
        <f>HYPERLINK("http://www.eatonpowersource.com/products/configure/industrial%20valves/details/823an00002k","823AN00002K")</f>
        <v>823AN00002K</v>
      </c>
      <c r="B4868" s="6" t="s">
        <v>4827</v>
      </c>
    </row>
    <row r="4869" spans="1:2" x14ac:dyDescent="0.3">
      <c r="A4869" s="7" t="str">
        <f>HYPERLINK("http://www.eatonpowersource.com/products/configure/industrial%20valves/details/823an00003k","823AN00003K")</f>
        <v>823AN00003K</v>
      </c>
      <c r="B4869" s="8" t="s">
        <v>4828</v>
      </c>
    </row>
    <row r="4870" spans="1:2" x14ac:dyDescent="0.3">
      <c r="A4870" s="5" t="str">
        <f>HYPERLINK("http://www.eatonpowersource.com/products/configure/industrial%20valves/details/823an00006k","823AN00006K")</f>
        <v>823AN00006K</v>
      </c>
      <c r="B4870" s="6" t="s">
        <v>4829</v>
      </c>
    </row>
    <row r="4871" spans="1:2" x14ac:dyDescent="0.3">
      <c r="A4871" s="7" t="str">
        <f>HYPERLINK("http://www.eatonpowersource.com/products/configure/industrial%20valves/details/823an00010k","823AN00010K")</f>
        <v>823AN00010K</v>
      </c>
      <c r="B4871" s="8" t="s">
        <v>4830</v>
      </c>
    </row>
    <row r="4872" spans="1:2" x14ac:dyDescent="0.3">
      <c r="A4872" s="5" t="str">
        <f>HYPERLINK("http://www.eatonpowersource.com/products/configure/industrial%20valves/details/823an00014k","823AN00014K")</f>
        <v>823AN00014K</v>
      </c>
      <c r="B4872" s="6" t="s">
        <v>4831</v>
      </c>
    </row>
    <row r="4873" spans="1:2" x14ac:dyDescent="0.3">
      <c r="A4873" s="7" t="str">
        <f>HYPERLINK("http://www.eatonpowersource.com/products/configure/industrial%20valves/details/823an00015k","823AN00015K")</f>
        <v>823AN00015K</v>
      </c>
      <c r="B4873" s="8" t="s">
        <v>4832</v>
      </c>
    </row>
    <row r="4874" spans="1:2" x14ac:dyDescent="0.3">
      <c r="A4874" s="5" t="str">
        <f>HYPERLINK("http://www.eatonpowersource.com/products/configure/industrial%20valves/details/823an00018k","823AN00018K")</f>
        <v>823AN00018K</v>
      </c>
      <c r="B4874" s="6" t="s">
        <v>4833</v>
      </c>
    </row>
    <row r="4875" spans="1:2" x14ac:dyDescent="0.3">
      <c r="A4875" s="7" t="str">
        <f>HYPERLINK("http://www.eatonpowersource.com/products/configure/industrial%20valves/details/823an00025k","823AN00025K")</f>
        <v>823AN00025K</v>
      </c>
      <c r="B4875" s="8" t="s">
        <v>4834</v>
      </c>
    </row>
    <row r="4876" spans="1:2" x14ac:dyDescent="0.3">
      <c r="A4876" s="5" t="str">
        <f>HYPERLINK("http://www.eatonpowersource.com/products/configure/industrial%20valves/details/823an00032k","823AN00032K")</f>
        <v>823AN00032K</v>
      </c>
      <c r="B4876" s="6" t="s">
        <v>4835</v>
      </c>
    </row>
    <row r="4877" spans="1:2" x14ac:dyDescent="0.3">
      <c r="A4877" s="7" t="str">
        <f>HYPERLINK("http://www.eatonpowersource.com/products/configure/industrial%20valves/details/823an00034k","823AN00034K")</f>
        <v>823AN00034K</v>
      </c>
      <c r="B4877" s="8" t="s">
        <v>4836</v>
      </c>
    </row>
    <row r="4878" spans="1:2" x14ac:dyDescent="0.3">
      <c r="A4878" s="5" t="str">
        <f>HYPERLINK("http://www.eatonpowersource.com/products/configure/industrial%20valves/details/823an00036k","823AN00036K")</f>
        <v>823AN00036K</v>
      </c>
      <c r="B4878" s="6" t="s">
        <v>4837</v>
      </c>
    </row>
    <row r="4879" spans="1:2" x14ac:dyDescent="0.3">
      <c r="A4879" s="7" t="str">
        <f>HYPERLINK("http://www.eatonpowersource.com/products/configure/industrial%20valves/details/823an00040k","823AN00040K")</f>
        <v>823AN00040K</v>
      </c>
      <c r="B4879" s="8" t="s">
        <v>4838</v>
      </c>
    </row>
    <row r="4880" spans="1:2" x14ac:dyDescent="0.3">
      <c r="A4880" s="5" t="str">
        <f>HYPERLINK("http://www.eatonpowersource.com/products/configure/industrial%20valves/details/823an00041k","823AN00041K")</f>
        <v>823AN00041K</v>
      </c>
      <c r="B4880" s="6" t="s">
        <v>4839</v>
      </c>
    </row>
    <row r="4881" spans="1:2" x14ac:dyDescent="0.3">
      <c r="A4881" s="7" t="str">
        <f>HYPERLINK("http://www.eatonpowersource.com/products/configure/industrial%20valves/details/823an00044k","823AN00044K")</f>
        <v>823AN00044K</v>
      </c>
      <c r="B4881" s="8" t="s">
        <v>4840</v>
      </c>
    </row>
    <row r="4882" spans="1:2" x14ac:dyDescent="0.3">
      <c r="A4882" s="5" t="str">
        <f>HYPERLINK("http://www.eatonpowersource.com/products/configure/industrial%20valves/details/823an00046k","823AN00046K")</f>
        <v>823AN00046K</v>
      </c>
      <c r="B4882" s="6" t="s">
        <v>4841</v>
      </c>
    </row>
    <row r="4883" spans="1:2" x14ac:dyDescent="0.3">
      <c r="A4883" s="7" t="str">
        <f>HYPERLINK("http://www.eatonpowersource.com/products/configure/industrial%20valves/details/823an00052k","823AN00052K")</f>
        <v>823AN00052K</v>
      </c>
      <c r="B4883" s="8" t="s">
        <v>4842</v>
      </c>
    </row>
    <row r="4884" spans="1:2" x14ac:dyDescent="0.3">
      <c r="A4884" s="5" t="str">
        <f>HYPERLINK("http://www.eatonpowersource.com/products/configure/industrial%20valves/details/823an00065k","823AN00065K")</f>
        <v>823AN00065K</v>
      </c>
      <c r="B4884" s="6" t="s">
        <v>4843</v>
      </c>
    </row>
    <row r="4885" spans="1:2" x14ac:dyDescent="0.3">
      <c r="A4885" s="7" t="str">
        <f>HYPERLINK("http://www.eatonpowersource.com/products/configure/industrial%20valves/details/823an00072k","823AN00072K")</f>
        <v>823AN00072K</v>
      </c>
      <c r="B4885" s="8" t="s">
        <v>4844</v>
      </c>
    </row>
    <row r="4886" spans="1:2" x14ac:dyDescent="0.3">
      <c r="A4886" s="5" t="str">
        <f>HYPERLINK("http://www.eatonpowersource.com/products/configure/industrial%20valves/details/823an00073k","823AN00073K")</f>
        <v>823AN00073K</v>
      </c>
      <c r="B4886" s="6" t="s">
        <v>4845</v>
      </c>
    </row>
    <row r="4887" spans="1:2" x14ac:dyDescent="0.3">
      <c r="A4887" s="7" t="str">
        <f>HYPERLINK("http://www.eatonpowersource.com/products/configure/industrial%20valves/details/823an00075k","823AN00075K")</f>
        <v>823AN00075K</v>
      </c>
      <c r="B4887" s="8" t="s">
        <v>4846</v>
      </c>
    </row>
    <row r="4888" spans="1:2" x14ac:dyDescent="0.3">
      <c r="A4888" s="5" t="str">
        <f>HYPERLINK("http://www.eatonpowersource.com/products/configure/industrial%20valves/details/823an00076k","823AN00076K")</f>
        <v>823AN00076K</v>
      </c>
      <c r="B4888" s="6" t="s">
        <v>4847</v>
      </c>
    </row>
    <row r="4889" spans="1:2" x14ac:dyDescent="0.3">
      <c r="A4889" s="7" t="str">
        <f>HYPERLINK("http://www.eatonpowersource.com/products/configure/industrial%20valves/details/823an00077k","823AN00077K")</f>
        <v>823AN00077K</v>
      </c>
      <c r="B4889" s="8" t="s">
        <v>4848</v>
      </c>
    </row>
    <row r="4890" spans="1:2" x14ac:dyDescent="0.3">
      <c r="A4890" s="5" t="str">
        <f>HYPERLINK("http://www.eatonpowersource.com/products/configure/industrial%20valves/details/823an00078k","823AN00078K")</f>
        <v>823AN00078K</v>
      </c>
      <c r="B4890" s="6" t="s">
        <v>4849</v>
      </c>
    </row>
    <row r="4891" spans="1:2" x14ac:dyDescent="0.3">
      <c r="A4891" s="7" t="str">
        <f>HYPERLINK("http://www.eatonpowersource.com/products/configure/industrial%20valves/details/824an00017a","824AN00017A")</f>
        <v>824AN00017A</v>
      </c>
      <c r="B4891" s="8" t="s">
        <v>4850</v>
      </c>
    </row>
    <row r="4892" spans="1:2" x14ac:dyDescent="0.3">
      <c r="A4892" s="5" t="str">
        <f>HYPERLINK("http://www.eatonpowersource.com/products/configure/industrial%20valves/details/824an00019a","824AN00019A")</f>
        <v>824AN00019A</v>
      </c>
      <c r="B4892" s="6" t="s">
        <v>4851</v>
      </c>
    </row>
    <row r="4893" spans="1:2" x14ac:dyDescent="0.3">
      <c r="A4893" s="7" t="str">
        <f>HYPERLINK("http://www.eatonpowersource.com/products/configure/industrial%20valves/details/850an00001b","850AN00001B")</f>
        <v>850AN00001B</v>
      </c>
      <c r="B4893" s="8" t="s">
        <v>4852</v>
      </c>
    </row>
    <row r="4894" spans="1:2" x14ac:dyDescent="0.3">
      <c r="A4894" s="5" t="str">
        <f>HYPERLINK("http://www.eatonpowersource.com/products/configure/industrial%20valves/details/850an00004b","850AN00004B")</f>
        <v>850AN00004B</v>
      </c>
      <c r="B4894" s="6" t="s">
        <v>4853</v>
      </c>
    </row>
    <row r="4895" spans="1:2" x14ac:dyDescent="0.3">
      <c r="A4895" s="7" t="str">
        <f>HYPERLINK("http://www.eatonpowersource.com/products/configure/industrial%20valves/details/850an00006b","850AN00006B")</f>
        <v>850AN00006B</v>
      </c>
      <c r="B4895" s="8" t="s">
        <v>4854</v>
      </c>
    </row>
    <row r="4896" spans="1:2" x14ac:dyDescent="0.3">
      <c r="A4896" s="5" t="str">
        <f>HYPERLINK("http://www.eatonpowersource.com/products/configure/industrial%20valves/details/850an00007b","850AN00007B")</f>
        <v>850AN00007B</v>
      </c>
      <c r="B4896" s="6" t="s">
        <v>4855</v>
      </c>
    </row>
    <row r="4897" spans="1:2" x14ac:dyDescent="0.3">
      <c r="A4897" s="7" t="str">
        <f>HYPERLINK("http://www.eatonpowersource.com/products/configure/industrial%20valves/details/850an00008b","850AN00008B")</f>
        <v>850AN00008B</v>
      </c>
      <c r="B4897" s="8" t="s">
        <v>4856</v>
      </c>
    </row>
    <row r="4898" spans="1:2" x14ac:dyDescent="0.3">
      <c r="A4898" s="5" t="str">
        <f>HYPERLINK("http://www.eatonpowersource.com/products/configure/industrial%20valves/details/850an00009b","850AN00009B")</f>
        <v>850AN00009B</v>
      </c>
      <c r="B4898" s="6" t="s">
        <v>4857</v>
      </c>
    </row>
    <row r="4899" spans="1:2" x14ac:dyDescent="0.3">
      <c r="A4899" s="7" t="str">
        <f>HYPERLINK("http://www.eatonpowersource.com/products/configure/industrial%20valves/details/850an00011b","850AN00011B")</f>
        <v>850AN00011B</v>
      </c>
      <c r="B4899" s="8" t="s">
        <v>4858</v>
      </c>
    </row>
    <row r="4900" spans="1:2" x14ac:dyDescent="0.3">
      <c r="A4900" s="5" t="str">
        <f>HYPERLINK("http://www.eatonpowersource.com/products/configure/industrial%20valves/details/850an00012b","850AN00012B")</f>
        <v>850AN00012B</v>
      </c>
      <c r="B4900" s="6" t="s">
        <v>4859</v>
      </c>
    </row>
    <row r="4901" spans="1:2" x14ac:dyDescent="0.3">
      <c r="A4901" s="7" t="str">
        <f>HYPERLINK("http://www.eatonpowersource.com/products/configure/industrial%20valves/details/850an00017b","850AN00017B")</f>
        <v>850AN00017B</v>
      </c>
      <c r="B4901" s="8" t="s">
        <v>4860</v>
      </c>
    </row>
    <row r="4902" spans="1:2" x14ac:dyDescent="0.3">
      <c r="A4902" s="5" t="str">
        <f>HYPERLINK("http://www.eatonpowersource.com/products/configure/industrial%20valves/details/850an00018b","850AN00018B")</f>
        <v>850AN00018B</v>
      </c>
      <c r="B4902" s="6" t="s">
        <v>4861</v>
      </c>
    </row>
    <row r="4903" spans="1:2" x14ac:dyDescent="0.3">
      <c r="A4903" s="7" t="str">
        <f>HYPERLINK("http://www.eatonpowersource.com/products/configure/industrial%20valves/details/850an00019b","850AN00019B")</f>
        <v>850AN00019B</v>
      </c>
      <c r="B4903" s="8" t="s">
        <v>4862</v>
      </c>
    </row>
    <row r="4904" spans="1:2" x14ac:dyDescent="0.3">
      <c r="A4904" s="5" t="str">
        <f>HYPERLINK("http://www.eatonpowersource.com/products/configure/industrial%20valves/details/850an00022b","850AN00022B")</f>
        <v>850AN00022B</v>
      </c>
      <c r="B4904" s="6" t="s">
        <v>4863</v>
      </c>
    </row>
    <row r="4905" spans="1:2" x14ac:dyDescent="0.3">
      <c r="A4905" s="7" t="str">
        <f>HYPERLINK("http://www.eatonpowersource.com/products/configure/industrial%20valves/details/850an00023b","850AN00023B")</f>
        <v>850AN00023B</v>
      </c>
      <c r="B4905" s="8" t="s">
        <v>4864</v>
      </c>
    </row>
    <row r="4906" spans="1:2" x14ac:dyDescent="0.3">
      <c r="A4906" s="5" t="str">
        <f>HYPERLINK("http://www.eatonpowersource.com/products/configure/industrial%20valves/details/850an00025b","850AN00025B")</f>
        <v>850AN00025B</v>
      </c>
      <c r="B4906" s="6" t="s">
        <v>4865</v>
      </c>
    </row>
    <row r="4907" spans="1:2" x14ac:dyDescent="0.3">
      <c r="A4907" s="7" t="str">
        <f>HYPERLINK("http://www.eatonpowersource.com/products/configure/industrial%20valves/details/850an00026b","850AN00026B")</f>
        <v>850AN00026B</v>
      </c>
      <c r="B4907" s="8" t="s">
        <v>4866</v>
      </c>
    </row>
    <row r="4908" spans="1:2" x14ac:dyDescent="0.3">
      <c r="A4908" s="5" t="str">
        <f>HYPERLINK("http://www.eatonpowersource.com/products/configure/industrial%20valves/details/850an00030b","850AN00030B")</f>
        <v>850AN00030B</v>
      </c>
      <c r="B4908" s="6" t="s">
        <v>4867</v>
      </c>
    </row>
    <row r="4909" spans="1:2" x14ac:dyDescent="0.3">
      <c r="A4909" s="7" t="str">
        <f>HYPERLINK("http://www.eatonpowersource.com/products/configure/industrial%20valves/details/850an00032b","850AN00032B")</f>
        <v>850AN00032B</v>
      </c>
      <c r="B4909" s="8" t="s">
        <v>4868</v>
      </c>
    </row>
    <row r="4910" spans="1:2" x14ac:dyDescent="0.3">
      <c r="A4910" s="5" t="str">
        <f>HYPERLINK("http://www.eatonpowersource.com/products/configure/industrial%20valves/details/850an00034b","850AN00034B")</f>
        <v>850AN00034B</v>
      </c>
      <c r="B4910" s="6" t="s">
        <v>4869</v>
      </c>
    </row>
    <row r="4911" spans="1:2" x14ac:dyDescent="0.3">
      <c r="A4911" s="7" t="str">
        <f>HYPERLINK("http://www.eatonpowersource.com/products/configure/industrial%20valves/details/850an00050b","850AN00050B")</f>
        <v>850AN00050B</v>
      </c>
      <c r="B4911" s="8" t="s">
        <v>4870</v>
      </c>
    </row>
    <row r="4912" spans="1:2" x14ac:dyDescent="0.3">
      <c r="A4912" s="5" t="str">
        <f>HYPERLINK("http://www.eatonpowersource.com/products/configure/industrial%20valves/details/850an00057b","850AN00057B")</f>
        <v>850AN00057B</v>
      </c>
      <c r="B4912" s="6" t="s">
        <v>4871</v>
      </c>
    </row>
    <row r="4913" spans="1:2" x14ac:dyDescent="0.3">
      <c r="A4913" s="7" t="str">
        <f>HYPERLINK("http://www.eatonpowersource.com/products/configure/industrial%20valves/details/850an00060b","850AN00060B")</f>
        <v>850AN00060B</v>
      </c>
      <c r="B4913" s="8" t="s">
        <v>4872</v>
      </c>
    </row>
    <row r="4914" spans="1:2" x14ac:dyDescent="0.3">
      <c r="A4914" s="5" t="str">
        <f>HYPERLINK("http://www.eatonpowersource.com/products/configure/industrial%20valves/details/850an00065b","850AN00065B")</f>
        <v>850AN00065B</v>
      </c>
      <c r="B4914" s="6" t="s">
        <v>4873</v>
      </c>
    </row>
    <row r="4915" spans="1:2" x14ac:dyDescent="0.3">
      <c r="A4915" s="7" t="str">
        <f>HYPERLINK("http://www.eatonpowersource.com/products/configure/industrial%20valves/details/850an00067b","850AN00067B")</f>
        <v>850AN00067B</v>
      </c>
      <c r="B4915" s="8" t="s">
        <v>4874</v>
      </c>
    </row>
    <row r="4916" spans="1:2" x14ac:dyDescent="0.3">
      <c r="A4916" s="5" t="str">
        <f>HYPERLINK("http://www.eatonpowersource.com/products/configure/industrial%20valves/details/850an00071b","850AN00071B")</f>
        <v>850AN00071B</v>
      </c>
      <c r="B4916" s="6" t="s">
        <v>4875</v>
      </c>
    </row>
    <row r="4917" spans="1:2" x14ac:dyDescent="0.3">
      <c r="A4917" s="7" t="str">
        <f>HYPERLINK("http://www.eatonpowersource.com/products/configure/industrial%20valves/details/850an00083a","850AN00083A")</f>
        <v>850AN00083A</v>
      </c>
      <c r="B4917" s="8" t="s">
        <v>4876</v>
      </c>
    </row>
    <row r="4918" spans="1:2" x14ac:dyDescent="0.3">
      <c r="A4918" s="5" t="str">
        <f>HYPERLINK("http://www.eatonpowersource.com/products/configure/industrial%20valves/details/850an00083b","850AN00083B")</f>
        <v>850AN00083B</v>
      </c>
      <c r="B4918" s="6" t="s">
        <v>4877</v>
      </c>
    </row>
    <row r="4919" spans="1:2" x14ac:dyDescent="0.3">
      <c r="A4919" s="7" t="str">
        <f>HYPERLINK("http://www.eatonpowersource.com/products/configure/industrial%20valves/details/852an00001a","852AN00001A")</f>
        <v>852AN00001A</v>
      </c>
      <c r="B4919" s="8" t="s">
        <v>4878</v>
      </c>
    </row>
    <row r="4920" spans="1:2" x14ac:dyDescent="0.3">
      <c r="A4920" s="5" t="str">
        <f>HYPERLINK("http://www.eatonpowersource.com/products/configure/industrial%20valves/details/852an00001b","852AN00001B")</f>
        <v>852AN00001B</v>
      </c>
      <c r="B4920" s="6" t="s">
        <v>4879</v>
      </c>
    </row>
    <row r="4921" spans="1:2" x14ac:dyDescent="0.3">
      <c r="A4921" s="7" t="str">
        <f>HYPERLINK("http://www.eatonpowersource.com/products/configure/industrial%20valves/details/852an00002b","852AN00002B")</f>
        <v>852AN00002B</v>
      </c>
      <c r="B4921" s="8" t="s">
        <v>4880</v>
      </c>
    </row>
    <row r="4922" spans="1:2" x14ac:dyDescent="0.3">
      <c r="A4922" s="5" t="str">
        <f>HYPERLINK("http://www.eatonpowersource.com/products/configure/industrial%20valves/details/852an00003b","852AN00003B")</f>
        <v>852AN00003B</v>
      </c>
      <c r="B4922" s="6" t="s">
        <v>4881</v>
      </c>
    </row>
    <row r="4923" spans="1:2" x14ac:dyDescent="0.3">
      <c r="A4923" s="7" t="str">
        <f>HYPERLINK("http://www.eatonpowersource.com/products/configure/industrial%20valves/details/852an00004b","852AN00004B")</f>
        <v>852AN00004B</v>
      </c>
      <c r="B4923" s="8" t="s">
        <v>4882</v>
      </c>
    </row>
    <row r="4924" spans="1:2" x14ac:dyDescent="0.3">
      <c r="A4924" s="5" t="str">
        <f>HYPERLINK("http://www.eatonpowersource.com/products/configure/industrial%20valves/details/852an00005b","852AN00005B")</f>
        <v>852AN00005B</v>
      </c>
      <c r="B4924" s="6" t="s">
        <v>4883</v>
      </c>
    </row>
    <row r="4925" spans="1:2" x14ac:dyDescent="0.3">
      <c r="A4925" s="7" t="str">
        <f>HYPERLINK("http://www.eatonpowersource.com/products/configure/industrial%20valves/details/852an00006a","852AN00006A")</f>
        <v>852AN00006A</v>
      </c>
      <c r="B4925" s="8" t="s">
        <v>4884</v>
      </c>
    </row>
    <row r="4926" spans="1:2" x14ac:dyDescent="0.3">
      <c r="A4926" s="5" t="str">
        <f>HYPERLINK("http://www.eatonpowersource.com/products/configure/industrial%20valves/details/852an00006b","852AN00006B")</f>
        <v>852AN00006B</v>
      </c>
      <c r="B4926" s="6" t="s">
        <v>4885</v>
      </c>
    </row>
    <row r="4927" spans="1:2" x14ac:dyDescent="0.3">
      <c r="A4927" s="7" t="str">
        <f>HYPERLINK("http://www.eatonpowersource.com/products/configure/industrial%20valves/details/852an00007b","852AN00007B")</f>
        <v>852AN00007B</v>
      </c>
      <c r="B4927" s="8" t="s">
        <v>4886</v>
      </c>
    </row>
    <row r="4928" spans="1:2" x14ac:dyDescent="0.3">
      <c r="A4928" s="5" t="str">
        <f>HYPERLINK("http://www.eatonpowersource.com/products/configure/industrial%20valves/details/852an00008b","852AN00008B")</f>
        <v>852AN00008B</v>
      </c>
      <c r="B4928" s="6" t="s">
        <v>4887</v>
      </c>
    </row>
    <row r="4929" spans="1:2" x14ac:dyDescent="0.3">
      <c r="A4929" s="7" t="str">
        <f>HYPERLINK("http://www.eatonpowersource.com/products/configure/industrial%20valves/details/852an00009b","852AN00009B")</f>
        <v>852AN00009B</v>
      </c>
      <c r="B4929" s="8" t="s">
        <v>4888</v>
      </c>
    </row>
    <row r="4930" spans="1:2" x14ac:dyDescent="0.3">
      <c r="A4930" s="5" t="str">
        <f>HYPERLINK("http://www.eatonpowersource.com/products/configure/industrial%20valves/details/852an00010b","852AN00010B")</f>
        <v>852AN00010B</v>
      </c>
      <c r="B4930" s="6" t="s">
        <v>4889</v>
      </c>
    </row>
    <row r="4931" spans="1:2" x14ac:dyDescent="0.3">
      <c r="A4931" s="7" t="str">
        <f>HYPERLINK("http://www.eatonpowersource.com/products/configure/industrial%20valves/details/852an00011b","852AN00011B")</f>
        <v>852AN00011B</v>
      </c>
      <c r="B4931" s="8" t="s">
        <v>4890</v>
      </c>
    </row>
    <row r="4932" spans="1:2" x14ac:dyDescent="0.3">
      <c r="A4932" s="5" t="str">
        <f>HYPERLINK("http://www.eatonpowersource.com/products/configure/industrial%20valves/details/852an00012b","852AN00012B")</f>
        <v>852AN00012B</v>
      </c>
      <c r="B4932" s="6" t="s">
        <v>4891</v>
      </c>
    </row>
    <row r="4933" spans="1:2" x14ac:dyDescent="0.3">
      <c r="A4933" s="7" t="str">
        <f>HYPERLINK("http://www.eatonpowersource.com/products/configure/industrial%20valves/details/852an00014b","852AN00014B")</f>
        <v>852AN00014B</v>
      </c>
      <c r="B4933" s="8" t="s">
        <v>4892</v>
      </c>
    </row>
    <row r="4934" spans="1:2" x14ac:dyDescent="0.3">
      <c r="A4934" s="5" t="str">
        <f>HYPERLINK("http://www.eatonpowersource.com/products/configure/industrial%20valves/details/852an00016b","852AN00016B")</f>
        <v>852AN00016B</v>
      </c>
      <c r="B4934" s="6" t="s">
        <v>4893</v>
      </c>
    </row>
    <row r="4935" spans="1:2" x14ac:dyDescent="0.3">
      <c r="A4935" s="7" t="str">
        <f>HYPERLINK("http://www.eatonpowersource.com/products/configure/industrial%20valves/details/852an00017a","852AN00017A")</f>
        <v>852AN00017A</v>
      </c>
      <c r="B4935" s="8" t="s">
        <v>4894</v>
      </c>
    </row>
    <row r="4936" spans="1:2" x14ac:dyDescent="0.3">
      <c r="A4936" s="5" t="str">
        <f>HYPERLINK("http://www.eatonpowersource.com/products/configure/industrial%20valves/details/852an00017b","852AN00017B")</f>
        <v>852AN00017B</v>
      </c>
      <c r="B4936" s="6" t="s">
        <v>4895</v>
      </c>
    </row>
    <row r="4937" spans="1:2" x14ac:dyDescent="0.3">
      <c r="A4937" s="7" t="str">
        <f>HYPERLINK("http://www.eatonpowersource.com/products/configure/industrial%20valves/details/852an00018b","852AN00018B")</f>
        <v>852AN00018B</v>
      </c>
      <c r="B4937" s="8" t="s">
        <v>4896</v>
      </c>
    </row>
    <row r="4938" spans="1:2" x14ac:dyDescent="0.3">
      <c r="A4938" s="5" t="str">
        <f>HYPERLINK("http://www.eatonpowersource.com/products/configure/industrial%20valves/details/852an00019b","852AN00019B")</f>
        <v>852AN00019B</v>
      </c>
      <c r="B4938" s="6" t="s">
        <v>4897</v>
      </c>
    </row>
    <row r="4939" spans="1:2" x14ac:dyDescent="0.3">
      <c r="A4939" s="7" t="str">
        <f>HYPERLINK("http://www.eatonpowersource.com/products/configure/industrial%20valves/details/852an00020b","852AN00020B")</f>
        <v>852AN00020B</v>
      </c>
      <c r="B4939" s="8" t="s">
        <v>4898</v>
      </c>
    </row>
    <row r="4940" spans="1:2" x14ac:dyDescent="0.3">
      <c r="A4940" s="5" t="str">
        <f>HYPERLINK("http://www.eatonpowersource.com/products/configure/industrial%20valves/details/852an00021b","852AN00021B")</f>
        <v>852AN00021B</v>
      </c>
      <c r="B4940" s="6" t="s">
        <v>4899</v>
      </c>
    </row>
    <row r="4941" spans="1:2" x14ac:dyDescent="0.3">
      <c r="A4941" s="7" t="str">
        <f>HYPERLINK("http://www.eatonpowersource.com/products/configure/industrial%20valves/details/852an00025b","852AN00025B")</f>
        <v>852AN00025B</v>
      </c>
      <c r="B4941" s="8" t="s">
        <v>4900</v>
      </c>
    </row>
    <row r="4942" spans="1:2" x14ac:dyDescent="0.3">
      <c r="A4942" s="5" t="str">
        <f>HYPERLINK("http://www.eatonpowersource.com/products/configure/industrial%20valves/details/852an00026b","852AN00026B")</f>
        <v>852AN00026B</v>
      </c>
      <c r="B4942" s="6" t="s">
        <v>4901</v>
      </c>
    </row>
    <row r="4943" spans="1:2" x14ac:dyDescent="0.3">
      <c r="A4943" s="7" t="str">
        <f>HYPERLINK("http://www.eatonpowersource.com/products/configure/industrial%20valves/details/852an00027b","852AN00027B")</f>
        <v>852AN00027B</v>
      </c>
      <c r="B4943" s="8" t="s">
        <v>4902</v>
      </c>
    </row>
    <row r="4944" spans="1:2" x14ac:dyDescent="0.3">
      <c r="A4944" s="5" t="str">
        <f>HYPERLINK("http://www.eatonpowersource.com/products/configure/industrial%20valves/details/852an00029b","852AN00029B")</f>
        <v>852AN00029B</v>
      </c>
      <c r="B4944" s="6" t="s">
        <v>4903</v>
      </c>
    </row>
    <row r="4945" spans="1:2" x14ac:dyDescent="0.3">
      <c r="A4945" s="7" t="str">
        <f>HYPERLINK("http://www.eatonpowersource.com/products/configure/industrial%20valves/details/852an00030b","852AN00030B")</f>
        <v>852AN00030B</v>
      </c>
      <c r="B4945" s="8" t="s">
        <v>4904</v>
      </c>
    </row>
    <row r="4946" spans="1:2" x14ac:dyDescent="0.3">
      <c r="A4946" s="5" t="str">
        <f>HYPERLINK("http://www.eatonpowersource.com/products/configure/industrial%20valves/details/852an00031b","852AN00031B")</f>
        <v>852AN00031B</v>
      </c>
      <c r="B4946" s="6" t="s">
        <v>4905</v>
      </c>
    </row>
    <row r="4947" spans="1:2" x14ac:dyDescent="0.3">
      <c r="A4947" s="7" t="str">
        <f>HYPERLINK("http://www.eatonpowersource.com/products/configure/industrial%20valves/details/852an00032b","852AN00032B")</f>
        <v>852AN00032B</v>
      </c>
      <c r="B4947" s="8" t="s">
        <v>4906</v>
      </c>
    </row>
    <row r="4948" spans="1:2" x14ac:dyDescent="0.3">
      <c r="A4948" s="5" t="str">
        <f>HYPERLINK("http://www.eatonpowersource.com/products/configure/industrial%20valves/details/852an00033b","852AN00033B")</f>
        <v>852AN00033B</v>
      </c>
      <c r="B4948" s="6" t="s">
        <v>4907</v>
      </c>
    </row>
    <row r="4949" spans="1:2" x14ac:dyDescent="0.3">
      <c r="A4949" s="7" t="str">
        <f>HYPERLINK("http://www.eatonpowersource.com/products/configure/industrial%20valves/details/852an00035b","852AN00035B")</f>
        <v>852AN00035B</v>
      </c>
      <c r="B4949" s="8" t="s">
        <v>4908</v>
      </c>
    </row>
    <row r="4950" spans="1:2" x14ac:dyDescent="0.3">
      <c r="A4950" s="5" t="str">
        <f>HYPERLINK("http://www.eatonpowersource.com/products/configure/industrial%20valves/details/852an00036b","852AN00036B")</f>
        <v>852AN00036B</v>
      </c>
      <c r="B4950" s="6" t="s">
        <v>4909</v>
      </c>
    </row>
    <row r="4951" spans="1:2" x14ac:dyDescent="0.3">
      <c r="A4951" s="7" t="str">
        <f>HYPERLINK("http://www.eatonpowersource.com/products/configure/industrial%20valves/details/852an00037b","852AN00037B")</f>
        <v>852AN00037B</v>
      </c>
      <c r="B4951" s="8" t="s">
        <v>4910</v>
      </c>
    </row>
    <row r="4952" spans="1:2" x14ac:dyDescent="0.3">
      <c r="A4952" s="5" t="str">
        <f>HYPERLINK("http://www.eatonpowersource.com/products/configure/industrial%20valves/details/852an00038b","852AN00038B")</f>
        <v>852AN00038B</v>
      </c>
      <c r="B4952" s="6" t="s">
        <v>4911</v>
      </c>
    </row>
    <row r="4953" spans="1:2" x14ac:dyDescent="0.3">
      <c r="A4953" s="7" t="str">
        <f>HYPERLINK("http://www.eatonpowersource.com/products/configure/industrial%20valves/details/852an00039b","852AN00039B")</f>
        <v>852AN00039B</v>
      </c>
      <c r="B4953" s="8" t="s">
        <v>4912</v>
      </c>
    </row>
    <row r="4954" spans="1:2" x14ac:dyDescent="0.3">
      <c r="A4954" s="5" t="str">
        <f>HYPERLINK("http://www.eatonpowersource.com/products/configure/industrial%20valves/details/852an00043b","852AN00043B")</f>
        <v>852AN00043B</v>
      </c>
      <c r="B4954" s="6" t="s">
        <v>4913</v>
      </c>
    </row>
    <row r="4955" spans="1:2" x14ac:dyDescent="0.3">
      <c r="A4955" s="7" t="str">
        <f>HYPERLINK("http://www.eatonpowersource.com/products/configure/industrial%20valves/details/852an00044b","852AN00044B")</f>
        <v>852AN00044B</v>
      </c>
      <c r="B4955" s="8" t="s">
        <v>4914</v>
      </c>
    </row>
    <row r="4956" spans="1:2" x14ac:dyDescent="0.3">
      <c r="A4956" s="5" t="str">
        <f>HYPERLINK("http://www.eatonpowersource.com/products/configure/industrial%20valves/details/852an00047b","852AN00047B")</f>
        <v>852AN00047B</v>
      </c>
      <c r="B4956" s="6" t="s">
        <v>4915</v>
      </c>
    </row>
    <row r="4957" spans="1:2" x14ac:dyDescent="0.3">
      <c r="A4957" s="7" t="str">
        <f>HYPERLINK("http://www.eatonpowersource.com/products/configure/industrial%20valves/details/852an00052b","852AN00052B")</f>
        <v>852AN00052B</v>
      </c>
      <c r="B4957" s="8" t="s">
        <v>4916</v>
      </c>
    </row>
    <row r="4958" spans="1:2" x14ac:dyDescent="0.3">
      <c r="A4958" s="5" t="str">
        <f>HYPERLINK("http://www.eatonpowersource.com/products/configure/industrial%20valves/details/852an00057a","852AN00057A")</f>
        <v>852AN00057A</v>
      </c>
      <c r="B4958" s="6" t="s">
        <v>4917</v>
      </c>
    </row>
    <row r="4959" spans="1:2" x14ac:dyDescent="0.3">
      <c r="A4959" s="7" t="str">
        <f>HYPERLINK("http://www.eatonpowersource.com/products/configure/industrial%20valves/details/852an00057b","852AN00057B")</f>
        <v>852AN00057B</v>
      </c>
      <c r="B4959" s="8" t="s">
        <v>4918</v>
      </c>
    </row>
    <row r="4960" spans="1:2" x14ac:dyDescent="0.3">
      <c r="A4960" s="5" t="str">
        <f>HYPERLINK("http://www.eatonpowersource.com/products/configure/industrial%20valves/details/852an00060b","852AN00060B")</f>
        <v>852AN00060B</v>
      </c>
      <c r="B4960" s="6" t="s">
        <v>4919</v>
      </c>
    </row>
    <row r="4961" spans="1:2" x14ac:dyDescent="0.3">
      <c r="A4961" s="7" t="str">
        <f>HYPERLINK("http://www.eatonpowersource.com/products/configure/industrial%20valves/details/852an00061b","852AN00061B")</f>
        <v>852AN00061B</v>
      </c>
      <c r="B4961" s="8" t="s">
        <v>4920</v>
      </c>
    </row>
    <row r="4962" spans="1:2" x14ac:dyDescent="0.3">
      <c r="A4962" s="5" t="str">
        <f>HYPERLINK("http://www.eatonpowersource.com/products/configure/industrial%20valves/details/852an00063b","852AN00063B")</f>
        <v>852AN00063B</v>
      </c>
      <c r="B4962" s="6" t="s">
        <v>4921</v>
      </c>
    </row>
    <row r="4963" spans="1:2" x14ac:dyDescent="0.3">
      <c r="A4963" s="7" t="str">
        <f>HYPERLINK("http://www.eatonpowersource.com/products/configure/industrial%20valves/details/852an00065b","852AN00065B")</f>
        <v>852AN00065B</v>
      </c>
      <c r="B4963" s="8" t="s">
        <v>4922</v>
      </c>
    </row>
    <row r="4964" spans="1:2" x14ac:dyDescent="0.3">
      <c r="A4964" s="5" t="str">
        <f>HYPERLINK("http://www.eatonpowersource.com/products/configure/industrial%20valves/details/852an00067b","852AN00067B")</f>
        <v>852AN00067B</v>
      </c>
      <c r="B4964" s="6" t="s">
        <v>4923</v>
      </c>
    </row>
    <row r="4965" spans="1:2" x14ac:dyDescent="0.3">
      <c r="A4965" s="7" t="str">
        <f>HYPERLINK("http://www.eatonpowersource.com/products/configure/industrial%20valves/details/852an00068b","852AN00068B")</f>
        <v>852AN00068B</v>
      </c>
      <c r="B4965" s="8" t="s">
        <v>4924</v>
      </c>
    </row>
    <row r="4966" spans="1:2" x14ac:dyDescent="0.3">
      <c r="A4966" s="5" t="str">
        <f>HYPERLINK("http://www.eatonpowersource.com/products/configure/industrial%20valves/details/852an00069b","852AN00069B")</f>
        <v>852AN00069B</v>
      </c>
      <c r="B4966" s="6" t="s">
        <v>4925</v>
      </c>
    </row>
    <row r="4967" spans="1:2" x14ac:dyDescent="0.3">
      <c r="A4967" s="7" t="str">
        <f>HYPERLINK("http://www.eatonpowersource.com/products/configure/industrial%20valves/details/852an00076b","852AN00076B")</f>
        <v>852AN00076B</v>
      </c>
      <c r="B4967" s="8" t="s">
        <v>4926</v>
      </c>
    </row>
    <row r="4968" spans="1:2" x14ac:dyDescent="0.3">
      <c r="A4968" s="5" t="str">
        <f>HYPERLINK("http://www.eatonpowersource.com/products/configure/industrial%20valves/details/852an00083b","852AN00083B")</f>
        <v>852AN00083B</v>
      </c>
      <c r="B4968" s="6" t="s">
        <v>4927</v>
      </c>
    </row>
    <row r="4969" spans="1:2" x14ac:dyDescent="0.3">
      <c r="A4969" s="7" t="str">
        <f>HYPERLINK("http://www.eatonpowersource.com/products/configure/industrial%20valves/details/852an00092b","852AN00092B")</f>
        <v>852AN00092B</v>
      </c>
      <c r="B4969" s="8" t="s">
        <v>4928</v>
      </c>
    </row>
    <row r="4970" spans="1:2" x14ac:dyDescent="0.3">
      <c r="A4970" s="5" t="str">
        <f>HYPERLINK("http://www.eatonpowersource.com/products/configure/industrial%20valves/details/852an00093b","852AN00093B")</f>
        <v>852AN00093B</v>
      </c>
      <c r="B4970" s="6" t="s">
        <v>4929</v>
      </c>
    </row>
    <row r="4971" spans="1:2" x14ac:dyDescent="0.3">
      <c r="A4971" s="7" t="str">
        <f>HYPERLINK("http://www.eatonpowersource.com/products/configure/industrial%20valves/details/852an00099b","852AN00099B")</f>
        <v>852AN00099B</v>
      </c>
      <c r="B4971" s="8" t="s">
        <v>4930</v>
      </c>
    </row>
    <row r="4972" spans="1:2" x14ac:dyDescent="0.3">
      <c r="A4972" s="5" t="str">
        <f>HYPERLINK("http://www.eatonpowersource.com/products/configure/industrial%20valves/details/852an00102b","852AN00102B")</f>
        <v>852AN00102B</v>
      </c>
      <c r="B4972" s="6" t="s">
        <v>4931</v>
      </c>
    </row>
    <row r="4973" spans="1:2" x14ac:dyDescent="0.3">
      <c r="A4973" s="7" t="str">
        <f>HYPERLINK("http://www.eatonpowersource.com/products/configure/industrial%20valves/details/852an00104b","852AN00104B")</f>
        <v>852AN00104B</v>
      </c>
      <c r="B4973" s="8" t="s">
        <v>4932</v>
      </c>
    </row>
    <row r="4974" spans="1:2" x14ac:dyDescent="0.3">
      <c r="A4974" s="5" t="str">
        <f>HYPERLINK("http://www.eatonpowersource.com/products/configure/industrial%20valves/details/852an00105b","852AN00105B")</f>
        <v>852AN00105B</v>
      </c>
      <c r="B4974" s="6" t="s">
        <v>4933</v>
      </c>
    </row>
    <row r="4975" spans="1:2" x14ac:dyDescent="0.3">
      <c r="A4975" s="7" t="str">
        <f>HYPERLINK("http://www.eatonpowersource.com/products/configure/industrial%20valves/details/852an00106b","852AN00106B")</f>
        <v>852AN00106B</v>
      </c>
      <c r="B4975" s="8" t="s">
        <v>4934</v>
      </c>
    </row>
    <row r="4976" spans="1:2" x14ac:dyDescent="0.3">
      <c r="A4976" s="5" t="str">
        <f>HYPERLINK("http://www.eatonpowersource.com/products/configure/industrial%20valves/details/852an00108b","852AN00108B")</f>
        <v>852AN00108B</v>
      </c>
      <c r="B4976" s="6" t="s">
        <v>4935</v>
      </c>
    </row>
    <row r="4977" spans="1:2" x14ac:dyDescent="0.3">
      <c r="A4977" s="7" t="str">
        <f>HYPERLINK("http://www.eatonpowersource.com/products/configure/industrial%20valves/details/852an00111b","852AN00111B")</f>
        <v>852AN00111B</v>
      </c>
      <c r="B4977" s="8" t="s">
        <v>4936</v>
      </c>
    </row>
    <row r="4978" spans="1:2" x14ac:dyDescent="0.3">
      <c r="A4978" s="5" t="str">
        <f>HYPERLINK("http://www.eatonpowersource.com/products/configure/industrial%20valves/details/852an00112b","852AN00112B")</f>
        <v>852AN00112B</v>
      </c>
      <c r="B4978" s="6" t="s">
        <v>4937</v>
      </c>
    </row>
    <row r="4979" spans="1:2" x14ac:dyDescent="0.3">
      <c r="A4979" s="7" t="str">
        <f>HYPERLINK("http://www.eatonpowersource.com/products/configure/industrial%20valves/details/852an00113b","852AN00113B")</f>
        <v>852AN00113B</v>
      </c>
      <c r="B4979" s="8" t="s">
        <v>4938</v>
      </c>
    </row>
    <row r="4980" spans="1:2" x14ac:dyDescent="0.3">
      <c r="A4980" s="5" t="str">
        <f>HYPERLINK("http://www.eatonpowersource.com/products/configure/industrial%20valves/details/852an00114b","852AN00114B")</f>
        <v>852AN00114B</v>
      </c>
      <c r="B4980" s="6" t="s">
        <v>4939</v>
      </c>
    </row>
    <row r="4981" spans="1:2" x14ac:dyDescent="0.3">
      <c r="A4981" s="7" t="str">
        <f>HYPERLINK("http://www.eatonpowersource.com/products/configure/industrial%20valves/details/852an00115b","852AN00115B")</f>
        <v>852AN00115B</v>
      </c>
      <c r="B4981" s="8" t="s">
        <v>4940</v>
      </c>
    </row>
    <row r="4982" spans="1:2" x14ac:dyDescent="0.3">
      <c r="A4982" s="5" t="str">
        <f>HYPERLINK("http://www.eatonpowersource.com/products/configure/industrial%20valves/details/852an00120b","852AN00120B")</f>
        <v>852AN00120B</v>
      </c>
      <c r="B4982" s="6" t="s">
        <v>4941</v>
      </c>
    </row>
    <row r="4983" spans="1:2" x14ac:dyDescent="0.3">
      <c r="A4983" s="7" t="str">
        <f>HYPERLINK("http://www.eatonpowersource.com/products/configure/industrial%20valves/details/852an00121b","852AN00121B")</f>
        <v>852AN00121B</v>
      </c>
      <c r="B4983" s="8" t="s">
        <v>4942</v>
      </c>
    </row>
    <row r="4984" spans="1:2" x14ac:dyDescent="0.3">
      <c r="A4984" s="5" t="str">
        <f>HYPERLINK("http://www.eatonpowersource.com/products/configure/industrial%20valves/details/852an00122b","852AN00122B")</f>
        <v>852AN00122B</v>
      </c>
      <c r="B4984" s="6" t="s">
        <v>4943</v>
      </c>
    </row>
    <row r="4985" spans="1:2" x14ac:dyDescent="0.3">
      <c r="A4985" s="7" t="str">
        <f>HYPERLINK("http://www.eatonpowersource.com/products/configure/industrial%20valves/details/852an00123b","852AN00123B")</f>
        <v>852AN00123B</v>
      </c>
      <c r="B4985" s="8" t="s">
        <v>4944</v>
      </c>
    </row>
    <row r="4986" spans="1:2" x14ac:dyDescent="0.3">
      <c r="A4986" s="5" t="str">
        <f>HYPERLINK("http://www.eatonpowersource.com/products/configure/industrial%20valves/details/852an00125b","852AN00125B")</f>
        <v>852AN00125B</v>
      </c>
      <c r="B4986" s="6" t="s">
        <v>4945</v>
      </c>
    </row>
    <row r="4987" spans="1:2" x14ac:dyDescent="0.3">
      <c r="A4987" s="7" t="str">
        <f>HYPERLINK("http://www.eatonpowersource.com/products/configure/industrial%20valves/details/852an00126b","852AN00126B")</f>
        <v>852AN00126B</v>
      </c>
      <c r="B4987" s="8" t="s">
        <v>4946</v>
      </c>
    </row>
    <row r="4988" spans="1:2" x14ac:dyDescent="0.3">
      <c r="A4988" s="5" t="str">
        <f>HYPERLINK("http://www.eatonpowersource.com/products/configure/industrial%20valves/details/852an00129b","852AN00129B")</f>
        <v>852AN00129B</v>
      </c>
      <c r="B4988" s="6" t="s">
        <v>4947</v>
      </c>
    </row>
    <row r="4989" spans="1:2" x14ac:dyDescent="0.3">
      <c r="A4989" s="7" t="str">
        <f>HYPERLINK("http://www.eatonpowersource.com/products/configure/industrial%20valves/details/852an00130b","852AN00130B")</f>
        <v>852AN00130B</v>
      </c>
      <c r="B4989" s="8" t="s">
        <v>4948</v>
      </c>
    </row>
    <row r="4990" spans="1:2" x14ac:dyDescent="0.3">
      <c r="A4990" s="5" t="str">
        <f>HYPERLINK("http://www.eatonpowersource.com/products/configure/industrial%20valves/details/852an00131a","852AN00131A")</f>
        <v>852AN00131A</v>
      </c>
      <c r="B4990" s="6" t="s">
        <v>4949</v>
      </c>
    </row>
    <row r="4991" spans="1:2" x14ac:dyDescent="0.3">
      <c r="A4991" s="7" t="str">
        <f>HYPERLINK("http://www.eatonpowersource.com/products/configure/industrial%20valves/details/852an00132b","852AN00132B")</f>
        <v>852AN00132B</v>
      </c>
      <c r="B4991" s="8" t="s">
        <v>4950</v>
      </c>
    </row>
    <row r="4992" spans="1:2" x14ac:dyDescent="0.3">
      <c r="A4992" s="5" t="str">
        <f>HYPERLINK("http://www.eatonpowersource.com/products/configure/industrial%20valves/details/852an00133b","852AN00133B")</f>
        <v>852AN00133B</v>
      </c>
      <c r="B4992" s="6" t="s">
        <v>4951</v>
      </c>
    </row>
    <row r="4993" spans="1:2" x14ac:dyDescent="0.3">
      <c r="A4993" s="7" t="str">
        <f>HYPERLINK("http://www.eatonpowersource.com/products/configure/industrial%20valves/details/852an00134b","852AN00134B")</f>
        <v>852AN00134B</v>
      </c>
      <c r="B4993" s="8" t="s">
        <v>4952</v>
      </c>
    </row>
    <row r="4994" spans="1:2" x14ac:dyDescent="0.3">
      <c r="A4994" s="5" t="str">
        <f>HYPERLINK("http://www.eatonpowersource.com/products/configure/industrial%20valves/details/852an00140a","852AN00140A")</f>
        <v>852AN00140A</v>
      </c>
      <c r="B4994" s="6" t="s">
        <v>4953</v>
      </c>
    </row>
    <row r="4995" spans="1:2" x14ac:dyDescent="0.3">
      <c r="A4995" s="7" t="str">
        <f>HYPERLINK("http://www.eatonpowersource.com/products/configure/industrial%20valves/details/852an00140b","852AN00140B")</f>
        <v>852AN00140B</v>
      </c>
      <c r="B4995" s="8" t="s">
        <v>4954</v>
      </c>
    </row>
    <row r="4996" spans="1:2" x14ac:dyDescent="0.3">
      <c r="A4996" s="5" t="str">
        <f>HYPERLINK("http://www.eatonpowersource.com/products/configure/industrial%20valves/details/852an00142b","852AN00142B")</f>
        <v>852AN00142B</v>
      </c>
      <c r="B4996" s="6" t="s">
        <v>4955</v>
      </c>
    </row>
    <row r="4997" spans="1:2" x14ac:dyDescent="0.3">
      <c r="A4997" s="7" t="str">
        <f>HYPERLINK("http://www.eatonpowersource.com/products/configure/industrial%20valves/details/852an00144b","852AN00144B")</f>
        <v>852AN00144B</v>
      </c>
      <c r="B4997" s="8" t="s">
        <v>4956</v>
      </c>
    </row>
    <row r="4998" spans="1:2" x14ac:dyDescent="0.3">
      <c r="A4998" s="5" t="str">
        <f>HYPERLINK("http://www.eatonpowersource.com/products/configure/industrial%20valves/details/852an00145a","852AN00145A")</f>
        <v>852AN00145A</v>
      </c>
      <c r="B4998" s="6" t="s">
        <v>4957</v>
      </c>
    </row>
    <row r="4999" spans="1:2" x14ac:dyDescent="0.3">
      <c r="A4999" s="7" t="str">
        <f>HYPERLINK("http://www.eatonpowersource.com/products/configure/industrial%20valves/details/852an00145b","852AN00145B")</f>
        <v>852AN00145B</v>
      </c>
      <c r="B4999" s="8" t="s">
        <v>4958</v>
      </c>
    </row>
    <row r="5000" spans="1:2" x14ac:dyDescent="0.3">
      <c r="A5000" s="5" t="str">
        <f>HYPERLINK("http://www.eatonpowersource.com/products/configure/industrial%20valves/details/852an00163a","852AN00163A")</f>
        <v>852AN00163A</v>
      </c>
      <c r="B5000" s="6" t="s">
        <v>4959</v>
      </c>
    </row>
    <row r="5001" spans="1:2" x14ac:dyDescent="0.3">
      <c r="A5001" s="7" t="str">
        <f>HYPERLINK("http://www.eatonpowersource.com/products/configure/industrial%20valves/details/852an00165b","852AN00165B")</f>
        <v>852AN00165B</v>
      </c>
      <c r="B5001" s="8" t="s">
        <v>4960</v>
      </c>
    </row>
    <row r="5002" spans="1:2" x14ac:dyDescent="0.3">
      <c r="A5002" s="5" t="str">
        <f>HYPERLINK("http://www.eatonpowersource.com/products/configure/industrial%20valves/details/852an00167b","852AN00167B")</f>
        <v>852AN00167B</v>
      </c>
      <c r="B5002" s="6" t="s">
        <v>4961</v>
      </c>
    </row>
    <row r="5003" spans="1:2" x14ac:dyDescent="0.3">
      <c r="A5003" s="7" t="str">
        <f>HYPERLINK("http://www.eatonpowersource.com/products/configure/industrial%20valves/details/852an00168b","852AN00168B")</f>
        <v>852AN00168B</v>
      </c>
      <c r="B5003" s="8" t="s">
        <v>4962</v>
      </c>
    </row>
    <row r="5004" spans="1:2" x14ac:dyDescent="0.3">
      <c r="A5004" s="5" t="str">
        <f>HYPERLINK("http://www.eatonpowersource.com/products/configure/industrial%20valves/details/852an00169b","852AN00169B")</f>
        <v>852AN00169B</v>
      </c>
      <c r="B5004" s="6" t="s">
        <v>4963</v>
      </c>
    </row>
    <row r="5005" spans="1:2" x14ac:dyDescent="0.3">
      <c r="A5005" s="7" t="str">
        <f>HYPERLINK("http://www.eatonpowersource.com/products/configure/industrial%20valves/details/852an00172b","852AN00172B")</f>
        <v>852AN00172B</v>
      </c>
      <c r="B5005" s="8" t="s">
        <v>4964</v>
      </c>
    </row>
    <row r="5006" spans="1:2" x14ac:dyDescent="0.3">
      <c r="A5006" s="5" t="str">
        <f>HYPERLINK("http://www.eatonpowersource.com/products/configure/industrial%20valves/details/852an00173b","852AN00173B")</f>
        <v>852AN00173B</v>
      </c>
      <c r="B5006" s="6" t="s">
        <v>4965</v>
      </c>
    </row>
    <row r="5007" spans="1:2" x14ac:dyDescent="0.3">
      <c r="A5007" s="7" t="str">
        <f>HYPERLINK("http://www.eatonpowersource.com/products/configure/industrial%20valves/details/852an00174b","852AN00174B")</f>
        <v>852AN00174B</v>
      </c>
      <c r="B5007" s="8" t="s">
        <v>4966</v>
      </c>
    </row>
    <row r="5008" spans="1:2" x14ac:dyDescent="0.3">
      <c r="A5008" s="5" t="str">
        <f>HYPERLINK("http://www.eatonpowersource.com/products/configure/industrial%20valves/details/852an00177b","852AN00177B")</f>
        <v>852AN00177B</v>
      </c>
      <c r="B5008" s="6" t="s">
        <v>4967</v>
      </c>
    </row>
    <row r="5009" spans="1:2" x14ac:dyDescent="0.3">
      <c r="A5009" s="7" t="str">
        <f>HYPERLINK("http://www.eatonpowersource.com/products/configure/industrial%20valves/details/856an00040a","856AN00040A")</f>
        <v>856AN00040A</v>
      </c>
      <c r="B5009" s="8" t="s">
        <v>4968</v>
      </c>
    </row>
    <row r="5010" spans="1:2" x14ac:dyDescent="0.3">
      <c r="A5010" s="5" t="str">
        <f>HYPERLINK("http://www.eatonpowersource.com/products/configure/industrial%20valves/details/857an00115a","857AN00115A")</f>
        <v>857AN00115A</v>
      </c>
      <c r="B5010" s="6" t="s">
        <v>4969</v>
      </c>
    </row>
    <row r="5011" spans="1:2" x14ac:dyDescent="0.3">
      <c r="A5011" s="7" t="str">
        <f>HYPERLINK("http://www.eatonpowersource.com/products/configure/industrial%20valves/details/858an00001a","858AN00001A")</f>
        <v>858AN00001A</v>
      </c>
      <c r="B5011" s="8" t="s">
        <v>4970</v>
      </c>
    </row>
    <row r="5012" spans="1:2" x14ac:dyDescent="0.3">
      <c r="A5012" s="5" t="str">
        <f>HYPERLINK("http://www.eatonpowersource.com/products/configure/industrial%20valves/details/858an00002a","858AN00002A")</f>
        <v>858AN00002A</v>
      </c>
      <c r="B5012" s="6" t="s">
        <v>4971</v>
      </c>
    </row>
    <row r="5013" spans="1:2" x14ac:dyDescent="0.3">
      <c r="A5013" s="7" t="str">
        <f>HYPERLINK("http://www.eatonpowersource.com/products/configure/industrial%20valves/details/858an00003a","858AN00003A")</f>
        <v>858AN00003A</v>
      </c>
      <c r="B5013" s="8" t="s">
        <v>4972</v>
      </c>
    </row>
    <row r="5014" spans="1:2" x14ac:dyDescent="0.3">
      <c r="A5014" s="5" t="str">
        <f>HYPERLINK("http://www.eatonpowersource.com/products/configure/industrial%20valves/details/858an00004a","858AN00004A")</f>
        <v>858AN00004A</v>
      </c>
      <c r="B5014" s="6" t="s">
        <v>4973</v>
      </c>
    </row>
    <row r="5015" spans="1:2" x14ac:dyDescent="0.3">
      <c r="A5015" s="7" t="str">
        <f>HYPERLINK("http://www.eatonpowersource.com/products/configure/industrial%20valves/details/858an00005a","858AN00005A")</f>
        <v>858AN00005A</v>
      </c>
      <c r="B5015" s="8" t="s">
        <v>4974</v>
      </c>
    </row>
    <row r="5016" spans="1:2" x14ac:dyDescent="0.3">
      <c r="A5016" s="5" t="str">
        <f>HYPERLINK("http://www.eatonpowersource.com/products/configure/industrial%20valves/details/858an00006a","858AN00006A")</f>
        <v>858AN00006A</v>
      </c>
      <c r="B5016" s="6" t="s">
        <v>4975</v>
      </c>
    </row>
    <row r="5017" spans="1:2" x14ac:dyDescent="0.3">
      <c r="A5017" s="7" t="str">
        <f>HYPERLINK("http://www.eatonpowersource.com/products/configure/industrial%20valves/details/858an00007a","858AN00007A")</f>
        <v>858AN00007A</v>
      </c>
      <c r="B5017" s="8" t="s">
        <v>4976</v>
      </c>
    </row>
    <row r="5018" spans="1:2" x14ac:dyDescent="0.3">
      <c r="A5018" s="5" t="str">
        <f>HYPERLINK("http://www.eatonpowersource.com/products/configure/industrial%20valves/details/858an00008a","858AN00008A")</f>
        <v>858AN00008A</v>
      </c>
      <c r="B5018" s="6" t="s">
        <v>4977</v>
      </c>
    </row>
    <row r="5019" spans="1:2" x14ac:dyDescent="0.3">
      <c r="A5019" s="7" t="str">
        <f>HYPERLINK("http://www.eatonpowersource.com/products/configure/industrial%20valves/details/858an00009a","858AN00009A")</f>
        <v>858AN00009A</v>
      </c>
      <c r="B5019" s="8" t="s">
        <v>4978</v>
      </c>
    </row>
    <row r="5020" spans="1:2" x14ac:dyDescent="0.3">
      <c r="A5020" s="5" t="str">
        <f>HYPERLINK("http://www.eatonpowersource.com/products/configure/industrial%20valves/details/858an00010a","858AN00010A")</f>
        <v>858AN00010A</v>
      </c>
      <c r="B5020" s="6" t="s">
        <v>4979</v>
      </c>
    </row>
    <row r="5021" spans="1:2" x14ac:dyDescent="0.3">
      <c r="A5021" s="7" t="str">
        <f>HYPERLINK("http://www.eatonpowersource.com/products/configure/industrial%20valves/details/858an00011a","858AN00011A")</f>
        <v>858AN00011A</v>
      </c>
      <c r="B5021" s="8" t="s">
        <v>4980</v>
      </c>
    </row>
    <row r="5022" spans="1:2" x14ac:dyDescent="0.3">
      <c r="A5022" s="5" t="str">
        <f>HYPERLINK("http://www.eatonpowersource.com/products/configure/industrial%20valves/details/858an00012a","858AN00012A")</f>
        <v>858AN00012A</v>
      </c>
      <c r="B5022" s="6" t="s">
        <v>4981</v>
      </c>
    </row>
    <row r="5023" spans="1:2" x14ac:dyDescent="0.3">
      <c r="A5023" s="7" t="str">
        <f>HYPERLINK("http://www.eatonpowersource.com/products/configure/industrial%20valves/details/858an00013a","858AN00013A")</f>
        <v>858AN00013A</v>
      </c>
      <c r="B5023" s="8" t="s">
        <v>4982</v>
      </c>
    </row>
    <row r="5024" spans="1:2" x14ac:dyDescent="0.3">
      <c r="A5024" s="5" t="str">
        <f>HYPERLINK("http://www.eatonpowersource.com/products/configure/industrial%20valves/details/858an00014a","858AN00014A")</f>
        <v>858AN00014A</v>
      </c>
      <c r="B5024" s="6" t="s">
        <v>4983</v>
      </c>
    </row>
    <row r="5025" spans="1:2" x14ac:dyDescent="0.3">
      <c r="A5025" s="7" t="str">
        <f>HYPERLINK("http://www.eatonpowersource.com/products/configure/industrial%20valves/details/858an00015a","858AN00015A")</f>
        <v>858AN00015A</v>
      </c>
      <c r="B5025" s="8" t="s">
        <v>4984</v>
      </c>
    </row>
    <row r="5026" spans="1:2" x14ac:dyDescent="0.3">
      <c r="A5026" s="5" t="str">
        <f>HYPERLINK("http://www.eatonpowersource.com/products/configure/industrial%20valves/details/858an00016a","858AN00016A")</f>
        <v>858AN00016A</v>
      </c>
      <c r="B5026" s="6" t="s">
        <v>4985</v>
      </c>
    </row>
    <row r="5027" spans="1:2" x14ac:dyDescent="0.3">
      <c r="A5027" s="7" t="str">
        <f>HYPERLINK("http://www.eatonpowersource.com/products/configure/industrial%20valves/details/858an00017a","858AN00017A")</f>
        <v>858AN00017A</v>
      </c>
      <c r="B5027" s="8" t="s">
        <v>4986</v>
      </c>
    </row>
    <row r="5028" spans="1:2" x14ac:dyDescent="0.3">
      <c r="A5028" s="5" t="str">
        <f>HYPERLINK("http://www.eatonpowersource.com/products/configure/industrial%20valves/details/858an00018a","858AN00018A")</f>
        <v>858AN00018A</v>
      </c>
      <c r="B5028" s="6" t="s">
        <v>4987</v>
      </c>
    </row>
    <row r="5029" spans="1:2" x14ac:dyDescent="0.3">
      <c r="A5029" s="7" t="str">
        <f>HYPERLINK("http://www.eatonpowersource.com/products/configure/industrial%20valves/details/858an00019a","858AN00019A")</f>
        <v>858AN00019A</v>
      </c>
      <c r="B5029" s="8" t="s">
        <v>4988</v>
      </c>
    </row>
    <row r="5030" spans="1:2" x14ac:dyDescent="0.3">
      <c r="A5030" s="5" t="str">
        <f>HYPERLINK("http://www.eatonpowersource.com/products/configure/industrial%20valves/details/858an00020a","858AN00020A")</f>
        <v>858AN00020A</v>
      </c>
      <c r="B5030" s="6" t="s">
        <v>4989</v>
      </c>
    </row>
    <row r="5031" spans="1:2" x14ac:dyDescent="0.3">
      <c r="A5031" s="7" t="str">
        <f>HYPERLINK("http://www.eatonpowersource.com/products/configure/industrial%20valves/details/858an00021a","858AN00021A")</f>
        <v>858AN00021A</v>
      </c>
      <c r="B5031" s="8" t="s">
        <v>4990</v>
      </c>
    </row>
    <row r="5032" spans="1:2" x14ac:dyDescent="0.3">
      <c r="A5032" s="5" t="str">
        <f>HYPERLINK("http://www.eatonpowersource.com/products/configure/industrial%20valves/details/858an00022a","858AN00022A")</f>
        <v>858AN00022A</v>
      </c>
      <c r="B5032" s="6" t="s">
        <v>4991</v>
      </c>
    </row>
    <row r="5033" spans="1:2" x14ac:dyDescent="0.3">
      <c r="A5033" s="7" t="str">
        <f>HYPERLINK("http://www.eatonpowersource.com/products/configure/industrial%20valves/details/858an00023a","858AN00023A")</f>
        <v>858AN00023A</v>
      </c>
      <c r="B5033" s="8" t="s">
        <v>4992</v>
      </c>
    </row>
    <row r="5034" spans="1:2" x14ac:dyDescent="0.3">
      <c r="A5034" s="5" t="str">
        <f>HYPERLINK("http://www.eatonpowersource.com/products/configure/industrial%20valves/details/858an00024a","858AN00024A")</f>
        <v>858AN00024A</v>
      </c>
      <c r="B5034" s="6" t="s">
        <v>4993</v>
      </c>
    </row>
    <row r="5035" spans="1:2" x14ac:dyDescent="0.3">
      <c r="A5035" s="7" t="str">
        <f>HYPERLINK("http://www.eatonpowersource.com/products/configure/industrial%20valves/details/858an00025a","858AN00025A")</f>
        <v>858AN00025A</v>
      </c>
      <c r="B5035" s="8" t="s">
        <v>4994</v>
      </c>
    </row>
    <row r="5036" spans="1:2" x14ac:dyDescent="0.3">
      <c r="A5036" s="5" t="str">
        <f>HYPERLINK("http://www.eatonpowersource.com/products/configure/industrial%20valves/details/858an00026a","858AN00026A")</f>
        <v>858AN00026A</v>
      </c>
      <c r="B5036" s="6" t="s">
        <v>4995</v>
      </c>
    </row>
    <row r="5037" spans="1:2" x14ac:dyDescent="0.3">
      <c r="A5037" s="7" t="str">
        <f>HYPERLINK("http://www.eatonpowersource.com/products/configure/industrial%20valves/details/858an00027a","858AN00027A")</f>
        <v>858AN00027A</v>
      </c>
      <c r="B5037" s="8" t="s">
        <v>4996</v>
      </c>
    </row>
    <row r="5038" spans="1:2" x14ac:dyDescent="0.3">
      <c r="A5038" s="5" t="str">
        <f>HYPERLINK("http://www.eatonpowersource.com/products/configure/industrial%20valves/details/858an00028a","858AN00028A")</f>
        <v>858AN00028A</v>
      </c>
      <c r="B5038" s="6" t="s">
        <v>4997</v>
      </c>
    </row>
    <row r="5039" spans="1:2" x14ac:dyDescent="0.3">
      <c r="A5039" s="7" t="str">
        <f>HYPERLINK("http://www.eatonpowersource.com/products/configure/industrial%20valves/details/858an00029a","858AN00029A")</f>
        <v>858AN00029A</v>
      </c>
      <c r="B5039" s="8" t="s">
        <v>4998</v>
      </c>
    </row>
    <row r="5040" spans="1:2" x14ac:dyDescent="0.3">
      <c r="A5040" s="5" t="str">
        <f>HYPERLINK("http://www.eatonpowersource.com/products/configure/industrial%20valves/details/858an00030a","858AN00030A")</f>
        <v>858AN00030A</v>
      </c>
      <c r="B5040" s="6" t="s">
        <v>4999</v>
      </c>
    </row>
    <row r="5041" spans="1:2" x14ac:dyDescent="0.3">
      <c r="A5041" s="7" t="str">
        <f>HYPERLINK("http://www.eatonpowersource.com/products/configure/industrial%20valves/details/858an00031a","858AN00031A")</f>
        <v>858AN00031A</v>
      </c>
      <c r="B5041" s="8" t="s">
        <v>5000</v>
      </c>
    </row>
    <row r="5042" spans="1:2" x14ac:dyDescent="0.3">
      <c r="A5042" s="5" t="str">
        <f>HYPERLINK("http://www.eatonpowersource.com/products/configure/industrial%20valves/details/858an00032a","858AN00032A")</f>
        <v>858AN00032A</v>
      </c>
      <c r="B5042" s="6" t="s">
        <v>5001</v>
      </c>
    </row>
    <row r="5043" spans="1:2" x14ac:dyDescent="0.3">
      <c r="A5043" s="7" t="str">
        <f>HYPERLINK("http://www.eatonpowersource.com/products/configure/industrial%20valves/details/858an00033a","858AN00033A")</f>
        <v>858AN00033A</v>
      </c>
      <c r="B5043" s="8" t="s">
        <v>5002</v>
      </c>
    </row>
    <row r="5044" spans="1:2" x14ac:dyDescent="0.3">
      <c r="A5044" s="5" t="str">
        <f>HYPERLINK("http://www.eatonpowersource.com/products/configure/industrial%20valves/details/858an00034a","858AN00034A")</f>
        <v>858AN00034A</v>
      </c>
      <c r="B5044" s="6" t="s">
        <v>5003</v>
      </c>
    </row>
    <row r="5045" spans="1:2" x14ac:dyDescent="0.3">
      <c r="A5045" s="7" t="str">
        <f>HYPERLINK("http://www.eatonpowersource.com/products/configure/industrial%20valves/details/858an00035a","858AN00035A")</f>
        <v>858AN00035A</v>
      </c>
      <c r="B5045" s="8" t="s">
        <v>5004</v>
      </c>
    </row>
    <row r="5046" spans="1:2" x14ac:dyDescent="0.3">
      <c r="A5046" s="5" t="str">
        <f>HYPERLINK("http://www.eatonpowersource.com/products/configure/industrial%20valves/details/858an00040a","858AN00040A")</f>
        <v>858AN00040A</v>
      </c>
      <c r="B5046" s="6" t="s">
        <v>5005</v>
      </c>
    </row>
    <row r="5047" spans="1:2" x14ac:dyDescent="0.3">
      <c r="A5047" s="7" t="str">
        <f>HYPERLINK("http://www.eatonpowersource.com/products/configure/industrial%20valves/details/858an00041a","858AN00041A")</f>
        <v>858AN00041A</v>
      </c>
      <c r="B5047" s="8" t="s">
        <v>5006</v>
      </c>
    </row>
    <row r="5048" spans="1:2" x14ac:dyDescent="0.3">
      <c r="A5048" s="5" t="str">
        <f>HYPERLINK("http://www.eatonpowersource.com/products/configure/industrial%20valves/details/858an00042a","858AN00042A")</f>
        <v>858AN00042A</v>
      </c>
      <c r="B5048" s="6" t="s">
        <v>5007</v>
      </c>
    </row>
    <row r="5049" spans="1:2" x14ac:dyDescent="0.3">
      <c r="A5049" s="7" t="str">
        <f>HYPERLINK("http://www.eatonpowersource.com/products/configure/industrial%20valves/details/858an00043a","858AN00043A")</f>
        <v>858AN00043A</v>
      </c>
      <c r="B5049" s="8" t="s">
        <v>5008</v>
      </c>
    </row>
    <row r="5050" spans="1:2" x14ac:dyDescent="0.3">
      <c r="A5050" s="5" t="str">
        <f>HYPERLINK("http://www.eatonpowersource.com/products/configure/industrial%20valves/details/858an00049a","858AN00049A")</f>
        <v>858AN00049A</v>
      </c>
      <c r="B5050" s="6" t="s">
        <v>5009</v>
      </c>
    </row>
    <row r="5051" spans="1:2" x14ac:dyDescent="0.3">
      <c r="A5051" s="7" t="str">
        <f>HYPERLINK("http://www.eatonpowersource.com/products/configure/industrial%20valves/details/858an00050a","858AN00050A")</f>
        <v>858AN00050A</v>
      </c>
      <c r="B5051" s="8" t="s">
        <v>5010</v>
      </c>
    </row>
    <row r="5052" spans="1:2" x14ac:dyDescent="0.3">
      <c r="A5052" s="5" t="str">
        <f>HYPERLINK("http://www.eatonpowersource.com/products/configure/industrial%20valves/details/858an00051a","858AN00051A")</f>
        <v>858AN00051A</v>
      </c>
      <c r="B5052" s="6" t="s">
        <v>5011</v>
      </c>
    </row>
    <row r="5053" spans="1:2" x14ac:dyDescent="0.3">
      <c r="A5053" s="7" t="str">
        <f>HYPERLINK("http://www.eatonpowersource.com/products/configure/industrial%20valves/details/858an00053a","858AN00053A")</f>
        <v>858AN00053A</v>
      </c>
      <c r="B5053" s="8" t="s">
        <v>5012</v>
      </c>
    </row>
    <row r="5054" spans="1:2" x14ac:dyDescent="0.3">
      <c r="A5054" s="5" t="str">
        <f>HYPERLINK("http://www.eatonpowersource.com/products/configure/industrial%20valves/details/858an00054a","858AN00054A")</f>
        <v>858AN00054A</v>
      </c>
      <c r="B5054" s="6" t="s">
        <v>5013</v>
      </c>
    </row>
    <row r="5055" spans="1:2" x14ac:dyDescent="0.3">
      <c r="A5055" s="7" t="str">
        <f>HYPERLINK("http://www.eatonpowersource.com/products/configure/industrial%20valves/details/858an00055a","858AN00055A")</f>
        <v>858AN00055A</v>
      </c>
      <c r="B5055" s="8" t="s">
        <v>5014</v>
      </c>
    </row>
    <row r="5056" spans="1:2" x14ac:dyDescent="0.3">
      <c r="A5056" s="5" t="str">
        <f>HYPERLINK("http://www.eatonpowersource.com/products/configure/industrial%20valves/details/858an00056a","858AN00056A")</f>
        <v>858AN00056A</v>
      </c>
      <c r="B5056" s="6" t="s">
        <v>5015</v>
      </c>
    </row>
    <row r="5057" spans="1:2" x14ac:dyDescent="0.3">
      <c r="A5057" s="7" t="str">
        <f>HYPERLINK("http://www.eatonpowersource.com/products/configure/industrial%20valves/details/858an00057a","858AN00057A")</f>
        <v>858AN00057A</v>
      </c>
      <c r="B5057" s="8" t="s">
        <v>5016</v>
      </c>
    </row>
    <row r="5058" spans="1:2" x14ac:dyDescent="0.3">
      <c r="A5058" s="5" t="str">
        <f>HYPERLINK("http://www.eatonpowersource.com/products/configure/industrial%20valves/details/858an00058a","858AN00058A")</f>
        <v>858AN00058A</v>
      </c>
      <c r="B5058" s="6" t="s">
        <v>5017</v>
      </c>
    </row>
    <row r="5059" spans="1:2" x14ac:dyDescent="0.3">
      <c r="A5059" s="7" t="str">
        <f>HYPERLINK("http://www.eatonpowersource.com/products/configure/industrial%20valves/details/858an00059a","858AN00059A")</f>
        <v>858AN00059A</v>
      </c>
      <c r="B5059" s="8" t="s">
        <v>5018</v>
      </c>
    </row>
    <row r="5060" spans="1:2" x14ac:dyDescent="0.3">
      <c r="A5060" s="5" t="str">
        <f>HYPERLINK("http://www.eatonpowersource.com/products/configure/industrial%20valves/details/858an00060a","858AN00060A")</f>
        <v>858AN00060A</v>
      </c>
      <c r="B5060" s="6" t="s">
        <v>5019</v>
      </c>
    </row>
    <row r="5061" spans="1:2" x14ac:dyDescent="0.3">
      <c r="A5061" s="7" t="str">
        <f>HYPERLINK("http://www.eatonpowersource.com/products/configure/industrial%20valves/details/858an00062a","858AN00062A")</f>
        <v>858AN00062A</v>
      </c>
      <c r="B5061" s="8" t="s">
        <v>5020</v>
      </c>
    </row>
    <row r="5062" spans="1:2" x14ac:dyDescent="0.3">
      <c r="A5062" s="5" t="str">
        <f>HYPERLINK("http://www.eatonpowersource.com/products/configure/industrial%20valves/details/858an00063a","858AN00063A")</f>
        <v>858AN00063A</v>
      </c>
      <c r="B5062" s="6" t="s">
        <v>5021</v>
      </c>
    </row>
    <row r="5063" spans="1:2" x14ac:dyDescent="0.3">
      <c r="A5063" s="7" t="str">
        <f>HYPERLINK("http://www.eatonpowersource.com/products/configure/industrial%20valves/details/858an00064a","858AN00064A")</f>
        <v>858AN00064A</v>
      </c>
      <c r="B5063" s="8" t="s">
        <v>5022</v>
      </c>
    </row>
    <row r="5064" spans="1:2" x14ac:dyDescent="0.3">
      <c r="A5064" s="5" t="str">
        <f>HYPERLINK("http://www.eatonpowersource.com/products/configure/industrial%20valves/details/858an00065a","858AN00065A")</f>
        <v>858AN00065A</v>
      </c>
      <c r="B5064" s="6" t="s">
        <v>5023</v>
      </c>
    </row>
    <row r="5065" spans="1:2" x14ac:dyDescent="0.3">
      <c r="A5065" s="7" t="str">
        <f>HYPERLINK("http://www.eatonpowersource.com/products/configure/industrial%20valves/details/858an00066a","858AN00066A")</f>
        <v>858AN00066A</v>
      </c>
      <c r="B5065" s="8" t="s">
        <v>5024</v>
      </c>
    </row>
    <row r="5066" spans="1:2" x14ac:dyDescent="0.3">
      <c r="A5066" s="5" t="str">
        <f>HYPERLINK("http://www.eatonpowersource.com/products/configure/industrial%20valves/details/858an00067a","858AN00067A")</f>
        <v>858AN00067A</v>
      </c>
      <c r="B5066" s="6" t="s">
        <v>5025</v>
      </c>
    </row>
    <row r="5067" spans="1:2" x14ac:dyDescent="0.3">
      <c r="A5067" s="7" t="str">
        <f>HYPERLINK("http://www.eatonpowersource.com/products/configure/industrial%20valves/details/858an00068a","858AN00068A")</f>
        <v>858AN00068A</v>
      </c>
      <c r="B5067" s="8" t="s">
        <v>5026</v>
      </c>
    </row>
    <row r="5068" spans="1:2" x14ac:dyDescent="0.3">
      <c r="A5068" s="5" t="str">
        <f>HYPERLINK("http://www.eatonpowersource.com/products/configure/industrial%20valves/details/858an00069a","858AN00069A")</f>
        <v>858AN00069A</v>
      </c>
      <c r="B5068" s="6" t="s">
        <v>5027</v>
      </c>
    </row>
    <row r="5069" spans="1:2" x14ac:dyDescent="0.3">
      <c r="A5069" s="7" t="str">
        <f>HYPERLINK("http://www.eatonpowersource.com/products/configure/industrial%20valves/details/858an00070a","858AN00070A")</f>
        <v>858AN00070A</v>
      </c>
      <c r="B5069" s="8" t="s">
        <v>5028</v>
      </c>
    </row>
    <row r="5070" spans="1:2" x14ac:dyDescent="0.3">
      <c r="A5070" s="5" t="str">
        <f>HYPERLINK("http://www.eatonpowersource.com/products/configure/industrial%20valves/details/858an00072a","858AN00072A")</f>
        <v>858AN00072A</v>
      </c>
      <c r="B5070" s="6" t="s">
        <v>5029</v>
      </c>
    </row>
    <row r="5071" spans="1:2" x14ac:dyDescent="0.3">
      <c r="A5071" s="7" t="str">
        <f>HYPERLINK("http://www.eatonpowersource.com/products/configure/industrial%20valves/details/858an00073a","858AN00073A")</f>
        <v>858AN00073A</v>
      </c>
      <c r="B5071" s="8" t="s">
        <v>5030</v>
      </c>
    </row>
    <row r="5072" spans="1:2" x14ac:dyDescent="0.3">
      <c r="A5072" s="5" t="str">
        <f>HYPERLINK("http://www.eatonpowersource.com/products/configure/industrial%20valves/details/858an00074a","858AN00074A")</f>
        <v>858AN00074A</v>
      </c>
      <c r="B5072" s="6" t="s">
        <v>5031</v>
      </c>
    </row>
    <row r="5073" spans="1:2" x14ac:dyDescent="0.3">
      <c r="A5073" s="7" t="str">
        <f>HYPERLINK("http://www.eatonpowersource.com/products/configure/industrial%20valves/details/858an00075a","858AN00075A")</f>
        <v>858AN00075A</v>
      </c>
      <c r="B5073" s="8" t="s">
        <v>5032</v>
      </c>
    </row>
    <row r="5074" spans="1:2" x14ac:dyDescent="0.3">
      <c r="A5074" s="5" t="str">
        <f>HYPERLINK("http://www.eatonpowersource.com/products/configure/industrial%20valves/details/858an00076a","858AN00076A")</f>
        <v>858AN00076A</v>
      </c>
      <c r="B5074" s="6" t="s">
        <v>5033</v>
      </c>
    </row>
    <row r="5075" spans="1:2" x14ac:dyDescent="0.3">
      <c r="A5075" s="7" t="str">
        <f>HYPERLINK("http://www.eatonpowersource.com/products/configure/industrial%20valves/details/858an00077a","858AN00077A")</f>
        <v>858AN00077A</v>
      </c>
      <c r="B5075" s="8" t="s">
        <v>5034</v>
      </c>
    </row>
    <row r="5076" spans="1:2" x14ac:dyDescent="0.3">
      <c r="A5076" s="5" t="str">
        <f>HYPERLINK("http://www.eatonpowersource.com/products/configure/industrial%20valves/details/858an00078a","858AN00078A")</f>
        <v>858AN00078A</v>
      </c>
      <c r="B5076" s="6" t="s">
        <v>5035</v>
      </c>
    </row>
    <row r="5077" spans="1:2" x14ac:dyDescent="0.3">
      <c r="A5077" s="7" t="str">
        <f>HYPERLINK("http://www.eatonpowersource.com/products/configure/industrial%20valves/details/858an00079a","858AN00079A")</f>
        <v>858AN00079A</v>
      </c>
      <c r="B5077" s="8" t="s">
        <v>5036</v>
      </c>
    </row>
    <row r="5078" spans="1:2" x14ac:dyDescent="0.3">
      <c r="A5078" s="5" t="str">
        <f>HYPERLINK("http://www.eatonpowersource.com/products/configure/industrial%20valves/details/858an00080a","858AN00080A")</f>
        <v>858AN00080A</v>
      </c>
      <c r="B5078" s="6" t="s">
        <v>5037</v>
      </c>
    </row>
    <row r="5079" spans="1:2" x14ac:dyDescent="0.3">
      <c r="A5079" s="7" t="str">
        <f>HYPERLINK("http://www.eatonpowersource.com/products/configure/industrial%20valves/details/858an00081a","858AN00081A")</f>
        <v>858AN00081A</v>
      </c>
      <c r="B5079" s="8" t="s">
        <v>5038</v>
      </c>
    </row>
    <row r="5080" spans="1:2" x14ac:dyDescent="0.3">
      <c r="A5080" s="5" t="str">
        <f>HYPERLINK("http://www.eatonpowersource.com/products/configure/industrial%20valves/details/858an00082a","858AN00082A")</f>
        <v>858AN00082A</v>
      </c>
      <c r="B5080" s="6" t="s">
        <v>5039</v>
      </c>
    </row>
    <row r="5081" spans="1:2" x14ac:dyDescent="0.3">
      <c r="A5081" s="7" t="str">
        <f>HYPERLINK("http://www.eatonpowersource.com/products/configure/industrial%20valves/details/858an00083a","858AN00083A")</f>
        <v>858AN00083A</v>
      </c>
      <c r="B5081" s="8" t="s">
        <v>5040</v>
      </c>
    </row>
    <row r="5082" spans="1:2" x14ac:dyDescent="0.3">
      <c r="A5082" s="5" t="str">
        <f>HYPERLINK("http://www.eatonpowersource.com/products/configure/industrial%20valves/details/858an00084a","858AN00084A")</f>
        <v>858AN00084A</v>
      </c>
      <c r="B5082" s="6" t="s">
        <v>5041</v>
      </c>
    </row>
    <row r="5083" spans="1:2" x14ac:dyDescent="0.3">
      <c r="A5083" s="7" t="str">
        <f>HYPERLINK("http://www.eatonpowersource.com/products/configure/industrial%20valves/details/858an00085a","858AN00085A")</f>
        <v>858AN00085A</v>
      </c>
      <c r="B5083" s="8" t="s">
        <v>5042</v>
      </c>
    </row>
    <row r="5084" spans="1:2" x14ac:dyDescent="0.3">
      <c r="A5084" s="5" t="str">
        <f>HYPERLINK("http://www.eatonpowersource.com/products/configure/industrial%20valves/details/858an00087a","858AN00087A")</f>
        <v>858AN00087A</v>
      </c>
      <c r="B5084" s="6" t="s">
        <v>5043</v>
      </c>
    </row>
    <row r="5085" spans="1:2" x14ac:dyDescent="0.3">
      <c r="A5085" s="7" t="str">
        <f>HYPERLINK("http://www.eatonpowersource.com/products/configure/industrial%20valves/details/858an00088a","858AN00088A")</f>
        <v>858AN00088A</v>
      </c>
      <c r="B5085" s="8" t="s">
        <v>5044</v>
      </c>
    </row>
    <row r="5086" spans="1:2" x14ac:dyDescent="0.3">
      <c r="A5086" s="5" t="str">
        <f>HYPERLINK("http://www.eatonpowersource.com/products/configure/industrial%20valves/details/858an00089a","858AN00089A")</f>
        <v>858AN00089A</v>
      </c>
      <c r="B5086" s="6" t="s">
        <v>5045</v>
      </c>
    </row>
    <row r="5087" spans="1:2" x14ac:dyDescent="0.3">
      <c r="A5087" s="7" t="str">
        <f>HYPERLINK("http://www.eatonpowersource.com/products/configure/industrial%20valves/details/858an00090a","858AN00090A")</f>
        <v>858AN00090A</v>
      </c>
      <c r="B5087" s="8" t="s">
        <v>5046</v>
      </c>
    </row>
    <row r="5088" spans="1:2" x14ac:dyDescent="0.3">
      <c r="A5088" s="5" t="str">
        <f>HYPERLINK("http://www.eatonpowersource.com/products/configure/industrial%20valves/details/858an00091a","858AN00091A")</f>
        <v>858AN00091A</v>
      </c>
      <c r="B5088" s="6" t="s">
        <v>5047</v>
      </c>
    </row>
    <row r="5089" spans="1:2" x14ac:dyDescent="0.3">
      <c r="A5089" s="7" t="str">
        <f>HYPERLINK("http://www.eatonpowersource.com/products/configure/industrial%20valves/details/858an00092a","858AN00092A")</f>
        <v>858AN00092A</v>
      </c>
      <c r="B5089" s="8" t="s">
        <v>5048</v>
      </c>
    </row>
    <row r="5090" spans="1:2" x14ac:dyDescent="0.3">
      <c r="A5090" s="5" t="str">
        <f>HYPERLINK("http://www.eatonpowersource.com/products/configure/industrial%20valves/details/858an00093a","858AN00093A")</f>
        <v>858AN00093A</v>
      </c>
      <c r="B5090" s="6" t="s">
        <v>5049</v>
      </c>
    </row>
    <row r="5091" spans="1:2" x14ac:dyDescent="0.3">
      <c r="A5091" s="7" t="str">
        <f>HYPERLINK("http://www.eatonpowersource.com/products/configure/industrial%20valves/details/858an00094a","858AN00094A")</f>
        <v>858AN00094A</v>
      </c>
      <c r="B5091" s="8" t="s">
        <v>5050</v>
      </c>
    </row>
    <row r="5092" spans="1:2" x14ac:dyDescent="0.3">
      <c r="A5092" s="5" t="str">
        <f>HYPERLINK("http://www.eatonpowersource.com/products/configure/industrial%20valves/details/858an00095a","858AN00095A")</f>
        <v>858AN00095A</v>
      </c>
      <c r="B5092" s="6" t="s">
        <v>5051</v>
      </c>
    </row>
    <row r="5093" spans="1:2" x14ac:dyDescent="0.3">
      <c r="A5093" s="7" t="str">
        <f>HYPERLINK("http://www.eatonpowersource.com/products/configure/industrial%20valves/details/858an00096a","858AN00096A")</f>
        <v>858AN00096A</v>
      </c>
      <c r="B5093" s="8" t="s">
        <v>5052</v>
      </c>
    </row>
    <row r="5094" spans="1:2" x14ac:dyDescent="0.3">
      <c r="A5094" s="5" t="str">
        <f>HYPERLINK("http://www.eatonpowersource.com/products/configure/industrial%20valves/details/858an00097a","858AN00097A")</f>
        <v>858AN00097A</v>
      </c>
      <c r="B5094" s="6" t="s">
        <v>5053</v>
      </c>
    </row>
    <row r="5095" spans="1:2" x14ac:dyDescent="0.3">
      <c r="A5095" s="7" t="str">
        <f>HYPERLINK("http://www.eatonpowersource.com/products/configure/industrial%20valves/details/858an00098a","858AN00098A")</f>
        <v>858AN00098A</v>
      </c>
      <c r="B5095" s="8" t="s">
        <v>5054</v>
      </c>
    </row>
    <row r="5096" spans="1:2" x14ac:dyDescent="0.3">
      <c r="A5096" s="5" t="str">
        <f>HYPERLINK("http://www.eatonpowersource.com/products/configure/industrial%20valves/details/858an00099a","858AN00099A")</f>
        <v>858AN00099A</v>
      </c>
      <c r="B5096" s="6" t="s">
        <v>5055</v>
      </c>
    </row>
    <row r="5097" spans="1:2" x14ac:dyDescent="0.3">
      <c r="A5097" s="7" t="str">
        <f>HYPERLINK("http://www.eatonpowersource.com/products/configure/industrial%20valves/details/858an00100a","858AN00100A")</f>
        <v>858AN00100A</v>
      </c>
      <c r="B5097" s="8" t="s">
        <v>5056</v>
      </c>
    </row>
    <row r="5098" spans="1:2" x14ac:dyDescent="0.3">
      <c r="A5098" s="5" t="str">
        <f>HYPERLINK("http://www.eatonpowersource.com/products/configure/industrial%20valves/details/858an00101a","858AN00101A")</f>
        <v>858AN00101A</v>
      </c>
      <c r="B5098" s="6" t="s">
        <v>5057</v>
      </c>
    </row>
    <row r="5099" spans="1:2" x14ac:dyDescent="0.3">
      <c r="A5099" s="7" t="str">
        <f>HYPERLINK("http://www.eatonpowersource.com/products/configure/industrial%20valves/details/858an00102a","858AN00102A")</f>
        <v>858AN00102A</v>
      </c>
      <c r="B5099" s="8" t="s">
        <v>5058</v>
      </c>
    </row>
    <row r="5100" spans="1:2" x14ac:dyDescent="0.3">
      <c r="A5100" s="5" t="str">
        <f>HYPERLINK("http://www.eatonpowersource.com/products/configure/industrial%20valves/details/858an00103a","858AN00103A")</f>
        <v>858AN00103A</v>
      </c>
      <c r="B5100" s="6" t="s">
        <v>5059</v>
      </c>
    </row>
    <row r="5101" spans="1:2" x14ac:dyDescent="0.3">
      <c r="A5101" s="7" t="str">
        <f>HYPERLINK("http://www.eatonpowersource.com/products/configure/industrial%20valves/details/858an00104a","858AN00104A")</f>
        <v>858AN00104A</v>
      </c>
      <c r="B5101" s="8" t="s">
        <v>5060</v>
      </c>
    </row>
    <row r="5102" spans="1:2" x14ac:dyDescent="0.3">
      <c r="A5102" s="5" t="str">
        <f>HYPERLINK("http://www.eatonpowersource.com/products/configure/industrial%20valves/details/858an00105a","858AN00105A")</f>
        <v>858AN00105A</v>
      </c>
      <c r="B5102" s="6" t="s">
        <v>5061</v>
      </c>
    </row>
    <row r="5103" spans="1:2" x14ac:dyDescent="0.3">
      <c r="A5103" s="7" t="str">
        <f>HYPERLINK("http://www.eatonpowersource.com/products/configure/industrial%20valves/details/858an00106a","858AN00106A")</f>
        <v>858AN00106A</v>
      </c>
      <c r="B5103" s="8" t="s">
        <v>5062</v>
      </c>
    </row>
    <row r="5104" spans="1:2" x14ac:dyDescent="0.3">
      <c r="A5104" s="5" t="str">
        <f>HYPERLINK("http://www.eatonpowersource.com/products/configure/industrial%20valves/details/858an00107a","858AN00107A")</f>
        <v>858AN00107A</v>
      </c>
      <c r="B5104" s="6" t="s">
        <v>5063</v>
      </c>
    </row>
    <row r="5105" spans="1:2" x14ac:dyDescent="0.3">
      <c r="A5105" s="7" t="str">
        <f>HYPERLINK("http://www.eatonpowersource.com/products/configure/industrial%20valves/details/858an00108a","858AN00108A")</f>
        <v>858AN00108A</v>
      </c>
      <c r="B5105" s="8" t="s">
        <v>5064</v>
      </c>
    </row>
    <row r="5106" spans="1:2" x14ac:dyDescent="0.3">
      <c r="A5106" s="5" t="str">
        <f>HYPERLINK("http://www.eatonpowersource.com/products/configure/industrial%20valves/details/858an00109a","858AN00109A")</f>
        <v>858AN00109A</v>
      </c>
      <c r="B5106" s="6" t="s">
        <v>5065</v>
      </c>
    </row>
    <row r="5107" spans="1:2" x14ac:dyDescent="0.3">
      <c r="A5107" s="7" t="str">
        <f>HYPERLINK("http://www.eatonpowersource.com/products/configure/industrial%20valves/details/858an00110a","858AN00110A")</f>
        <v>858AN00110A</v>
      </c>
      <c r="B5107" s="8" t="s">
        <v>5066</v>
      </c>
    </row>
    <row r="5108" spans="1:2" x14ac:dyDescent="0.3">
      <c r="A5108" s="5" t="str">
        <f>HYPERLINK("http://www.eatonpowersource.com/products/configure/industrial%20valves/details/858an00111a","858AN00111A")</f>
        <v>858AN00111A</v>
      </c>
      <c r="B5108" s="6" t="s">
        <v>5067</v>
      </c>
    </row>
    <row r="5109" spans="1:2" x14ac:dyDescent="0.3">
      <c r="A5109" s="7" t="str">
        <f>HYPERLINK("http://www.eatonpowersource.com/products/configure/industrial%20valves/details/858an00112a","858AN00112A")</f>
        <v>858AN00112A</v>
      </c>
      <c r="B5109" s="8" t="s">
        <v>5068</v>
      </c>
    </row>
    <row r="5110" spans="1:2" x14ac:dyDescent="0.3">
      <c r="A5110" s="5" t="str">
        <f>HYPERLINK("http://www.eatonpowersource.com/products/configure/industrial%20valves/details/858an00113a","858AN00113A")</f>
        <v>858AN00113A</v>
      </c>
      <c r="B5110" s="6" t="s">
        <v>5069</v>
      </c>
    </row>
    <row r="5111" spans="1:2" x14ac:dyDescent="0.3">
      <c r="A5111" s="7" t="str">
        <f>HYPERLINK("http://www.eatonpowersource.com/products/configure/industrial%20valves/details/858an00114a","858AN00114A")</f>
        <v>858AN00114A</v>
      </c>
      <c r="B5111" s="8" t="s">
        <v>5070</v>
      </c>
    </row>
    <row r="5112" spans="1:2" x14ac:dyDescent="0.3">
      <c r="A5112" s="5" t="str">
        <f>HYPERLINK("http://www.eatonpowersource.com/products/configure/industrial%20valves/details/858an00115a","858AN00115A")</f>
        <v>858AN00115A</v>
      </c>
      <c r="B5112" s="6" t="s">
        <v>5071</v>
      </c>
    </row>
    <row r="5113" spans="1:2" x14ac:dyDescent="0.3">
      <c r="A5113" s="7" t="str">
        <f>HYPERLINK("http://www.eatonpowersource.com/products/configure/industrial%20valves/details/858an00116a","858AN00116A")</f>
        <v>858AN00116A</v>
      </c>
      <c r="B5113" s="8" t="s">
        <v>5072</v>
      </c>
    </row>
    <row r="5114" spans="1:2" x14ac:dyDescent="0.3">
      <c r="A5114" s="5" t="str">
        <f>HYPERLINK("http://www.eatonpowersource.com/products/configure/industrial%20valves/details/858an00117a","858AN00117A")</f>
        <v>858AN00117A</v>
      </c>
      <c r="B5114" s="6" t="s">
        <v>5073</v>
      </c>
    </row>
    <row r="5115" spans="1:2" x14ac:dyDescent="0.3">
      <c r="A5115" s="7" t="str">
        <f>HYPERLINK("http://www.eatonpowersource.com/products/configure/industrial%20valves/details/858an00118a","858AN00118A")</f>
        <v>858AN00118A</v>
      </c>
      <c r="B5115" s="8" t="s">
        <v>5074</v>
      </c>
    </row>
    <row r="5116" spans="1:2" x14ac:dyDescent="0.3">
      <c r="A5116" s="5" t="str">
        <f>HYPERLINK("http://www.eatonpowersource.com/products/configure/industrial%20valves/details/858an00124a","858AN00124A")</f>
        <v>858AN00124A</v>
      </c>
      <c r="B5116" s="6" t="s">
        <v>5075</v>
      </c>
    </row>
    <row r="5117" spans="1:2" x14ac:dyDescent="0.3">
      <c r="A5117" s="7" t="str">
        <f>HYPERLINK("http://www.eatonpowersource.com/products/configure/industrial%20valves/details/858an00125a","858AN00125A")</f>
        <v>858AN00125A</v>
      </c>
      <c r="B5117" s="8" t="s">
        <v>5076</v>
      </c>
    </row>
    <row r="5118" spans="1:2" x14ac:dyDescent="0.3">
      <c r="A5118" s="5" t="str">
        <f>HYPERLINK("http://www.eatonpowersource.com/products/configure/industrial%20valves/details/858an00126a","858AN00126A")</f>
        <v>858AN00126A</v>
      </c>
      <c r="B5118" s="6" t="s">
        <v>5077</v>
      </c>
    </row>
    <row r="5119" spans="1:2" x14ac:dyDescent="0.3">
      <c r="A5119" s="7" t="str">
        <f>HYPERLINK("http://www.eatonpowersource.com/products/configure/industrial%20valves/details/858an00127a","858AN00127A")</f>
        <v>858AN00127A</v>
      </c>
      <c r="B5119" s="8" t="s">
        <v>5078</v>
      </c>
    </row>
    <row r="5120" spans="1:2" x14ac:dyDescent="0.3">
      <c r="A5120" s="5" t="str">
        <f>HYPERLINK("http://www.eatonpowersource.com/products/configure/industrial%20valves/details/858an00128a","858AN00128A")</f>
        <v>858AN00128A</v>
      </c>
      <c r="B5120" s="6" t="s">
        <v>5079</v>
      </c>
    </row>
    <row r="5121" spans="1:2" x14ac:dyDescent="0.3">
      <c r="A5121" s="7" t="str">
        <f>HYPERLINK("http://www.eatonpowersource.com/products/configure/industrial%20valves/details/858an00129a","858AN00129A")</f>
        <v>858AN00129A</v>
      </c>
      <c r="B5121" s="8" t="s">
        <v>5080</v>
      </c>
    </row>
    <row r="5122" spans="1:2" x14ac:dyDescent="0.3">
      <c r="A5122" s="5" t="str">
        <f>HYPERLINK("http://www.eatonpowersource.com/products/configure/industrial%20valves/details/858an00132a","858AN00132A")</f>
        <v>858AN00132A</v>
      </c>
      <c r="B5122" s="6" t="s">
        <v>5081</v>
      </c>
    </row>
    <row r="5123" spans="1:2" x14ac:dyDescent="0.3">
      <c r="A5123" s="7" t="str">
        <f>HYPERLINK("http://www.eatonpowersource.com/products/configure/industrial%20valves/details/858an00134a","858AN00134A")</f>
        <v>858AN00134A</v>
      </c>
      <c r="B5123" s="8" t="s">
        <v>5082</v>
      </c>
    </row>
    <row r="5124" spans="1:2" x14ac:dyDescent="0.3">
      <c r="A5124" s="5" t="str">
        <f>HYPERLINK("http://www.eatonpowersource.com/products/configure/industrial%20valves/details/858an00136a","858AN00136A")</f>
        <v>858AN00136A</v>
      </c>
      <c r="B5124" s="6" t="s">
        <v>5083</v>
      </c>
    </row>
    <row r="5125" spans="1:2" x14ac:dyDescent="0.3">
      <c r="A5125" s="7" t="str">
        <f>HYPERLINK("http://www.eatonpowersource.com/products/configure/industrial%20valves/details/858an00137a","858AN00137A")</f>
        <v>858AN00137A</v>
      </c>
      <c r="B5125" s="8" t="s">
        <v>5084</v>
      </c>
    </row>
    <row r="5126" spans="1:2" x14ac:dyDescent="0.3">
      <c r="A5126" s="5" t="str">
        <f>HYPERLINK("http://www.eatonpowersource.com/products/configure/industrial%20valves/details/858an00140a","858AN00140A")</f>
        <v>858AN00140A</v>
      </c>
      <c r="B5126" s="6" t="s">
        <v>5085</v>
      </c>
    </row>
    <row r="5127" spans="1:2" x14ac:dyDescent="0.3">
      <c r="A5127" s="7" t="str">
        <f>HYPERLINK("http://www.eatonpowersource.com/products/configure/industrial%20valves/details/858an00141a","858AN00141A")</f>
        <v>858AN00141A</v>
      </c>
      <c r="B5127" s="8" t="s">
        <v>5086</v>
      </c>
    </row>
    <row r="5128" spans="1:2" x14ac:dyDescent="0.3">
      <c r="A5128" s="5" t="str">
        <f>HYPERLINK("http://www.eatonpowersource.com/products/configure/industrial%20valves/details/858an00142a","858AN00142A")</f>
        <v>858AN00142A</v>
      </c>
      <c r="B5128" s="6" t="s">
        <v>5087</v>
      </c>
    </row>
    <row r="5129" spans="1:2" x14ac:dyDescent="0.3">
      <c r="A5129" s="7" t="str">
        <f>HYPERLINK("http://www.eatonpowersource.com/products/configure/industrial%20valves/details/858an00143a","858AN00143A")</f>
        <v>858AN00143A</v>
      </c>
      <c r="B5129" s="8" t="s">
        <v>5088</v>
      </c>
    </row>
    <row r="5130" spans="1:2" x14ac:dyDescent="0.3">
      <c r="A5130" s="5" t="str">
        <f>HYPERLINK("http://www.eatonpowersource.com/products/configure/industrial%20valves/details/858an00144a","858AN00144A")</f>
        <v>858AN00144A</v>
      </c>
      <c r="B5130" s="6" t="s">
        <v>5089</v>
      </c>
    </row>
    <row r="5131" spans="1:2" x14ac:dyDescent="0.3">
      <c r="A5131" s="7" t="str">
        <f>HYPERLINK("http://www.eatonpowersource.com/products/configure/industrial%20valves/details/858an00145a","858AN00145A")</f>
        <v>858AN00145A</v>
      </c>
      <c r="B5131" s="8" t="s">
        <v>5090</v>
      </c>
    </row>
    <row r="5132" spans="1:2" x14ac:dyDescent="0.3">
      <c r="A5132" s="5" t="str">
        <f>HYPERLINK("http://www.eatonpowersource.com/products/configure/industrial%20valves/details/858an00146a","858AN00146A")</f>
        <v>858AN00146A</v>
      </c>
      <c r="B5132" s="6" t="s">
        <v>5091</v>
      </c>
    </row>
    <row r="5133" spans="1:2" x14ac:dyDescent="0.3">
      <c r="A5133" s="7" t="str">
        <f>HYPERLINK("http://www.eatonpowersource.com/products/configure/industrial%20valves/details/859273","859273")</f>
        <v>859273</v>
      </c>
      <c r="B5133" s="8" t="s">
        <v>5092</v>
      </c>
    </row>
    <row r="5134" spans="1:2" x14ac:dyDescent="0.3">
      <c r="A5134" s="5" t="str">
        <f>HYPERLINK("http://www.eatonpowersource.com/products/configure/industrial%20valves/details/859445","859445")</f>
        <v>859445</v>
      </c>
      <c r="B5134" s="6" t="s">
        <v>5093</v>
      </c>
    </row>
    <row r="5135" spans="1:2" x14ac:dyDescent="0.3">
      <c r="A5135" s="7" t="str">
        <f>HYPERLINK("http://www.eatonpowersource.com/products/configure/industrial%20valves/details/859446","859446")</f>
        <v>859446</v>
      </c>
      <c r="B5135" s="8" t="s">
        <v>5094</v>
      </c>
    </row>
    <row r="5136" spans="1:2" x14ac:dyDescent="0.3">
      <c r="A5136" s="5" t="str">
        <f>HYPERLINK("http://www.eatonpowersource.com/products/configure/industrial%20valves/details/859an00001a","859AN00001A")</f>
        <v>859AN00001A</v>
      </c>
      <c r="B5136" s="6" t="s">
        <v>5095</v>
      </c>
    </row>
    <row r="5137" spans="1:2" x14ac:dyDescent="0.3">
      <c r="A5137" s="7" t="str">
        <f>HYPERLINK("http://www.eatonpowersource.com/products/configure/industrial%20valves/details/859an00002a","859AN00002A")</f>
        <v>859AN00002A</v>
      </c>
      <c r="B5137" s="8" t="s">
        <v>5096</v>
      </c>
    </row>
    <row r="5138" spans="1:2" x14ac:dyDescent="0.3">
      <c r="A5138" s="5" t="str">
        <f>HYPERLINK("http://www.eatonpowersource.com/products/configure/industrial%20valves/details/859an00003a","859AN00003A")</f>
        <v>859AN00003A</v>
      </c>
      <c r="B5138" s="6" t="s">
        <v>5097</v>
      </c>
    </row>
    <row r="5139" spans="1:2" x14ac:dyDescent="0.3">
      <c r="A5139" s="7" t="str">
        <f>HYPERLINK("http://www.eatonpowersource.com/products/configure/industrial%20valves/details/859an00004a","859AN00004A")</f>
        <v>859AN00004A</v>
      </c>
      <c r="B5139" s="8" t="s">
        <v>5098</v>
      </c>
    </row>
    <row r="5140" spans="1:2" x14ac:dyDescent="0.3">
      <c r="A5140" s="5" t="str">
        <f>HYPERLINK("http://www.eatonpowersource.com/products/configure/industrial%20valves/details/859an00005a","859AN00005A")</f>
        <v>859AN00005A</v>
      </c>
      <c r="B5140" s="6" t="s">
        <v>5099</v>
      </c>
    </row>
    <row r="5141" spans="1:2" x14ac:dyDescent="0.3">
      <c r="A5141" s="7" t="str">
        <f>HYPERLINK("http://www.eatonpowersource.com/products/configure/industrial%20valves/details/859an00006a","859AN00006A")</f>
        <v>859AN00006A</v>
      </c>
      <c r="B5141" s="8" t="s">
        <v>5100</v>
      </c>
    </row>
    <row r="5142" spans="1:2" x14ac:dyDescent="0.3">
      <c r="A5142" s="5" t="str">
        <f>HYPERLINK("http://www.eatonpowersource.com/products/configure/industrial%20valves/details/859an00007a","859AN00007A")</f>
        <v>859AN00007A</v>
      </c>
      <c r="B5142" s="6" t="s">
        <v>5101</v>
      </c>
    </row>
    <row r="5143" spans="1:2" x14ac:dyDescent="0.3">
      <c r="A5143" s="7" t="str">
        <f>HYPERLINK("http://www.eatonpowersource.com/products/configure/industrial%20valves/details/859an00008a","859AN00008A")</f>
        <v>859AN00008A</v>
      </c>
      <c r="B5143" s="8" t="s">
        <v>5102</v>
      </c>
    </row>
    <row r="5144" spans="1:2" x14ac:dyDescent="0.3">
      <c r="A5144" s="5" t="str">
        <f>HYPERLINK("http://www.eatonpowersource.com/products/configure/industrial%20valves/details/859an00010a","859AN00010A")</f>
        <v>859AN00010A</v>
      </c>
      <c r="B5144" s="6" t="s">
        <v>5103</v>
      </c>
    </row>
    <row r="5145" spans="1:2" x14ac:dyDescent="0.3">
      <c r="A5145" s="7" t="str">
        <f>HYPERLINK("http://www.eatonpowersource.com/products/configure/industrial%20valves/details/859an00011a","859AN00011A")</f>
        <v>859AN00011A</v>
      </c>
      <c r="B5145" s="8" t="s">
        <v>5104</v>
      </c>
    </row>
    <row r="5146" spans="1:2" x14ac:dyDescent="0.3">
      <c r="A5146" s="5" t="str">
        <f>HYPERLINK("http://www.eatonpowersource.com/products/configure/industrial%20valves/details/859an00012a","859AN00012A")</f>
        <v>859AN00012A</v>
      </c>
      <c r="B5146" s="6" t="s">
        <v>5105</v>
      </c>
    </row>
    <row r="5147" spans="1:2" x14ac:dyDescent="0.3">
      <c r="A5147" s="7" t="str">
        <f>HYPERLINK("http://www.eatonpowersource.com/products/configure/industrial%20valves/details/859an00013a","859AN00013A")</f>
        <v>859AN00013A</v>
      </c>
      <c r="B5147" s="8" t="s">
        <v>5106</v>
      </c>
    </row>
    <row r="5148" spans="1:2" x14ac:dyDescent="0.3">
      <c r="A5148" s="5" t="str">
        <f>HYPERLINK("http://www.eatonpowersource.com/products/configure/industrial%20valves/details/859an00014a","859AN00014A")</f>
        <v>859AN00014A</v>
      </c>
      <c r="B5148" s="6" t="s">
        <v>5107</v>
      </c>
    </row>
    <row r="5149" spans="1:2" x14ac:dyDescent="0.3">
      <c r="A5149" s="7" t="str">
        <f>HYPERLINK("http://www.eatonpowersource.com/products/configure/industrial%20valves/details/859an00015a","859AN00015A")</f>
        <v>859AN00015A</v>
      </c>
      <c r="B5149" s="8" t="s">
        <v>5108</v>
      </c>
    </row>
    <row r="5150" spans="1:2" x14ac:dyDescent="0.3">
      <c r="A5150" s="5" t="str">
        <f>HYPERLINK("http://www.eatonpowersource.com/products/configure/industrial%20valves/details/859an00016a","859AN00016A")</f>
        <v>859AN00016A</v>
      </c>
      <c r="B5150" s="6" t="s">
        <v>5109</v>
      </c>
    </row>
    <row r="5151" spans="1:2" x14ac:dyDescent="0.3">
      <c r="A5151" s="7" t="str">
        <f>HYPERLINK("http://www.eatonpowersource.com/products/configure/industrial%20valves/details/859an00017a","859AN00017A")</f>
        <v>859AN00017A</v>
      </c>
      <c r="B5151" s="8" t="s">
        <v>5110</v>
      </c>
    </row>
    <row r="5152" spans="1:2" x14ac:dyDescent="0.3">
      <c r="A5152" s="5" t="str">
        <f>HYPERLINK("http://www.eatonpowersource.com/products/configure/industrial%20valves/details/859an00018a","859AN00018A")</f>
        <v>859AN00018A</v>
      </c>
      <c r="B5152" s="6" t="s">
        <v>5111</v>
      </c>
    </row>
    <row r="5153" spans="1:2" x14ac:dyDescent="0.3">
      <c r="A5153" s="7" t="str">
        <f>HYPERLINK("http://www.eatonpowersource.com/products/configure/industrial%20valves/details/859an00019a","859AN00019A")</f>
        <v>859AN00019A</v>
      </c>
      <c r="B5153" s="8" t="s">
        <v>5112</v>
      </c>
    </row>
    <row r="5154" spans="1:2" x14ac:dyDescent="0.3">
      <c r="A5154" s="5" t="str">
        <f>HYPERLINK("http://www.eatonpowersource.com/products/configure/industrial%20valves/details/859an00020a","859AN00020A")</f>
        <v>859AN00020A</v>
      </c>
      <c r="B5154" s="6" t="s">
        <v>5113</v>
      </c>
    </row>
    <row r="5155" spans="1:2" x14ac:dyDescent="0.3">
      <c r="A5155" s="7" t="str">
        <f>HYPERLINK("http://www.eatonpowersource.com/products/configure/industrial%20valves/details/859an00021a","859AN00021A")</f>
        <v>859AN00021A</v>
      </c>
      <c r="B5155" s="8" t="s">
        <v>5114</v>
      </c>
    </row>
    <row r="5156" spans="1:2" x14ac:dyDescent="0.3">
      <c r="A5156" s="5" t="str">
        <f>HYPERLINK("http://www.eatonpowersource.com/products/configure/industrial%20valves/details/859an00022a","859AN00022A")</f>
        <v>859AN00022A</v>
      </c>
      <c r="B5156" s="6" t="s">
        <v>5115</v>
      </c>
    </row>
    <row r="5157" spans="1:2" x14ac:dyDescent="0.3">
      <c r="A5157" s="7" t="str">
        <f>HYPERLINK("http://www.eatonpowersource.com/products/configure/industrial%20valves/details/859an00023a","859AN00023A")</f>
        <v>859AN00023A</v>
      </c>
      <c r="B5157" s="8" t="s">
        <v>5116</v>
      </c>
    </row>
    <row r="5158" spans="1:2" x14ac:dyDescent="0.3">
      <c r="A5158" s="5" t="str">
        <f>HYPERLINK("http://www.eatonpowersource.com/products/configure/industrial%20valves/details/859an00025a","859AN00025A")</f>
        <v>859AN00025A</v>
      </c>
      <c r="B5158" s="6" t="s">
        <v>5117</v>
      </c>
    </row>
    <row r="5159" spans="1:2" x14ac:dyDescent="0.3">
      <c r="A5159" s="7" t="str">
        <f>HYPERLINK("http://www.eatonpowersource.com/products/configure/industrial%20valves/details/859an00027a","859AN00027A")</f>
        <v>859AN00027A</v>
      </c>
      <c r="B5159" s="8" t="s">
        <v>5118</v>
      </c>
    </row>
    <row r="5160" spans="1:2" x14ac:dyDescent="0.3">
      <c r="A5160" s="5" t="str">
        <f>HYPERLINK("http://www.eatonpowersource.com/products/configure/industrial%20valves/details/859an00028a","859AN00028A")</f>
        <v>859AN00028A</v>
      </c>
      <c r="B5160" s="6" t="s">
        <v>5119</v>
      </c>
    </row>
    <row r="5161" spans="1:2" x14ac:dyDescent="0.3">
      <c r="A5161" s="7" t="str">
        <f>HYPERLINK("http://www.eatonpowersource.com/products/configure/industrial%20valves/details/859an00031a","859AN00031A")</f>
        <v>859AN00031A</v>
      </c>
      <c r="B5161" s="8" t="s">
        <v>5120</v>
      </c>
    </row>
    <row r="5162" spans="1:2" x14ac:dyDescent="0.3">
      <c r="A5162" s="5" t="str">
        <f>HYPERLINK("http://www.eatonpowersource.com/products/configure/industrial%20valves/details/859an00032a","859AN00032A")</f>
        <v>859AN00032A</v>
      </c>
      <c r="B5162" s="6" t="s">
        <v>5121</v>
      </c>
    </row>
    <row r="5163" spans="1:2" x14ac:dyDescent="0.3">
      <c r="A5163" s="7" t="str">
        <f>HYPERLINK("http://www.eatonpowersource.com/products/configure/industrial%20valves/details/864an00001a","864AN00001A")</f>
        <v>864AN00001A</v>
      </c>
      <c r="B5163" s="8" t="s">
        <v>5122</v>
      </c>
    </row>
    <row r="5164" spans="1:2" x14ac:dyDescent="0.3">
      <c r="A5164" s="5" t="str">
        <f>HYPERLINK("http://www.eatonpowersource.com/products/configure/industrial%20valves/details/864an00002a","864AN00002A")</f>
        <v>864AN00002A</v>
      </c>
      <c r="B5164" s="6" t="s">
        <v>5123</v>
      </c>
    </row>
    <row r="5165" spans="1:2" x14ac:dyDescent="0.3">
      <c r="A5165" s="7" t="str">
        <f>HYPERLINK("http://www.eatonpowersource.com/products/configure/industrial%20valves/details/864an00004a","864AN00004A")</f>
        <v>864AN00004A</v>
      </c>
      <c r="B5165" s="8" t="s">
        <v>5124</v>
      </c>
    </row>
    <row r="5166" spans="1:2" x14ac:dyDescent="0.3">
      <c r="A5166" s="5" t="str">
        <f>HYPERLINK("http://www.eatonpowersource.com/products/configure/industrial%20valves/details/864an00005a","864AN00005A")</f>
        <v>864AN00005A</v>
      </c>
      <c r="B5166" s="6" t="s">
        <v>5125</v>
      </c>
    </row>
    <row r="5167" spans="1:2" x14ac:dyDescent="0.3">
      <c r="A5167" s="7" t="str">
        <f>HYPERLINK("http://www.eatonpowersource.com/products/configure/industrial%20valves/details/864an00006a","864AN00006A")</f>
        <v>864AN00006A</v>
      </c>
      <c r="B5167" s="8" t="s">
        <v>5126</v>
      </c>
    </row>
    <row r="5168" spans="1:2" x14ac:dyDescent="0.3">
      <c r="A5168" s="5" t="str">
        <f>HYPERLINK("http://www.eatonpowersource.com/products/configure/industrial%20valves/details/864an00007a","864AN00007A")</f>
        <v>864AN00007A</v>
      </c>
      <c r="B5168" s="6" t="s">
        <v>5127</v>
      </c>
    </row>
    <row r="5169" spans="1:2" x14ac:dyDescent="0.3">
      <c r="A5169" s="7" t="str">
        <f>HYPERLINK("http://www.eatonpowersource.com/products/configure/industrial%20valves/details/864an00008a","864AN00008A")</f>
        <v>864AN00008A</v>
      </c>
      <c r="B5169" s="8" t="s">
        <v>5128</v>
      </c>
    </row>
    <row r="5170" spans="1:2" x14ac:dyDescent="0.3">
      <c r="A5170" s="5" t="str">
        <f>HYPERLINK("http://www.eatonpowersource.com/products/configure/industrial%20valves/details/864an00010a","864AN00010A")</f>
        <v>864AN00010A</v>
      </c>
      <c r="B5170" s="6" t="s">
        <v>5129</v>
      </c>
    </row>
    <row r="5171" spans="1:2" x14ac:dyDescent="0.3">
      <c r="A5171" s="7" t="str">
        <f>HYPERLINK("http://www.eatonpowersource.com/products/configure/industrial%20valves/details/864an00012a","864AN00012A")</f>
        <v>864AN00012A</v>
      </c>
      <c r="B5171" s="8" t="s">
        <v>5130</v>
      </c>
    </row>
    <row r="5172" spans="1:2" x14ac:dyDescent="0.3">
      <c r="A5172" s="5" t="str">
        <f>HYPERLINK("http://www.eatonpowersource.com/products/configure/industrial%20valves/details/864an00013a","864AN00013A")</f>
        <v>864AN00013A</v>
      </c>
      <c r="B5172" s="6" t="s">
        <v>5131</v>
      </c>
    </row>
    <row r="5173" spans="1:2" x14ac:dyDescent="0.3">
      <c r="A5173" s="7" t="str">
        <f>HYPERLINK("http://www.eatonpowersource.com/products/configure/industrial%20valves/details/864an00014a","864AN00014A")</f>
        <v>864AN00014A</v>
      </c>
      <c r="B5173" s="8" t="s">
        <v>5132</v>
      </c>
    </row>
    <row r="5174" spans="1:2" x14ac:dyDescent="0.3">
      <c r="A5174" s="5" t="str">
        <f>HYPERLINK("http://www.eatonpowersource.com/products/configure/industrial%20valves/details/864an00015a","864AN00015A")</f>
        <v>864AN00015A</v>
      </c>
      <c r="B5174" s="6" t="s">
        <v>5133</v>
      </c>
    </row>
    <row r="5175" spans="1:2" x14ac:dyDescent="0.3">
      <c r="A5175" s="7" t="str">
        <f>HYPERLINK("http://www.eatonpowersource.com/products/configure/industrial%20valves/details/864an00016a","864AN00016A")</f>
        <v>864AN00016A</v>
      </c>
      <c r="B5175" s="8" t="s">
        <v>5134</v>
      </c>
    </row>
    <row r="5176" spans="1:2" x14ac:dyDescent="0.3">
      <c r="A5176" s="5" t="str">
        <f>HYPERLINK("http://www.eatonpowersource.com/products/configure/industrial%20valves/details/864an00017a","864AN00017A")</f>
        <v>864AN00017A</v>
      </c>
      <c r="B5176" s="6" t="s">
        <v>5135</v>
      </c>
    </row>
    <row r="5177" spans="1:2" x14ac:dyDescent="0.3">
      <c r="A5177" s="7" t="str">
        <f>HYPERLINK("http://www.eatonpowersource.com/products/configure/industrial%20valves/details/864an00018a","864AN00018A")</f>
        <v>864AN00018A</v>
      </c>
      <c r="B5177" s="8" t="s">
        <v>5136</v>
      </c>
    </row>
    <row r="5178" spans="1:2" x14ac:dyDescent="0.3">
      <c r="A5178" s="5" t="str">
        <f>HYPERLINK("http://www.eatonpowersource.com/products/configure/industrial%20valves/details/864an00019a","864AN00019A")</f>
        <v>864AN00019A</v>
      </c>
      <c r="B5178" s="6" t="s">
        <v>5137</v>
      </c>
    </row>
    <row r="5179" spans="1:2" x14ac:dyDescent="0.3">
      <c r="A5179" s="7" t="str">
        <f>HYPERLINK("http://www.eatonpowersource.com/products/configure/industrial%20valves/details/864an00020a","864AN00020A")</f>
        <v>864AN00020A</v>
      </c>
      <c r="B5179" s="8" t="s">
        <v>5138</v>
      </c>
    </row>
    <row r="5180" spans="1:2" x14ac:dyDescent="0.3">
      <c r="A5180" s="5" t="str">
        <f>HYPERLINK("http://www.eatonpowersource.com/products/configure/industrial%20valves/details/864an00021a","864AN00021A")</f>
        <v>864AN00021A</v>
      </c>
      <c r="B5180" s="6" t="s">
        <v>5139</v>
      </c>
    </row>
    <row r="5181" spans="1:2" x14ac:dyDescent="0.3">
      <c r="A5181" s="7" t="str">
        <f>HYPERLINK("http://www.eatonpowersource.com/products/configure/industrial%20valves/details/864an00022a","864AN00022A")</f>
        <v>864AN00022A</v>
      </c>
      <c r="B5181" s="8" t="s">
        <v>5140</v>
      </c>
    </row>
    <row r="5182" spans="1:2" x14ac:dyDescent="0.3">
      <c r="A5182" s="5" t="str">
        <f>HYPERLINK("http://www.eatonpowersource.com/products/configure/industrial%20valves/details/864an00023a","864AN00023A")</f>
        <v>864AN00023A</v>
      </c>
      <c r="B5182" s="6" t="s">
        <v>5141</v>
      </c>
    </row>
    <row r="5183" spans="1:2" x14ac:dyDescent="0.3">
      <c r="A5183" s="7" t="str">
        <f>HYPERLINK("http://www.eatonpowersource.com/products/configure/industrial%20valves/details/864an00024a","864AN00024A")</f>
        <v>864AN00024A</v>
      </c>
      <c r="B5183" s="8" t="s">
        <v>5142</v>
      </c>
    </row>
    <row r="5184" spans="1:2" x14ac:dyDescent="0.3">
      <c r="A5184" s="5" t="str">
        <f>HYPERLINK("http://www.eatonpowersource.com/products/configure/industrial%20valves/details/864an00025a","864AN00025A")</f>
        <v>864AN00025A</v>
      </c>
      <c r="B5184" s="6" t="s">
        <v>5143</v>
      </c>
    </row>
    <row r="5185" spans="1:2" x14ac:dyDescent="0.3">
      <c r="A5185" s="7" t="str">
        <f>HYPERLINK("http://www.eatonpowersource.com/products/configure/industrial%20valves/details/864an00027a","864AN00027A")</f>
        <v>864AN00027A</v>
      </c>
      <c r="B5185" s="8" t="s">
        <v>5144</v>
      </c>
    </row>
    <row r="5186" spans="1:2" x14ac:dyDescent="0.3">
      <c r="A5186" s="5" t="str">
        <f>HYPERLINK("http://www.eatonpowersource.com/products/configure/industrial%20valves/details/864an00028a","864AN00028A")</f>
        <v>864AN00028A</v>
      </c>
      <c r="B5186" s="6" t="s">
        <v>5145</v>
      </c>
    </row>
    <row r="5187" spans="1:2" x14ac:dyDescent="0.3">
      <c r="A5187" s="7" t="str">
        <f>HYPERLINK("http://www.eatonpowersource.com/products/configure/industrial%20valves/details/864an00029a","864AN00029A")</f>
        <v>864AN00029A</v>
      </c>
      <c r="B5187" s="8" t="s">
        <v>5146</v>
      </c>
    </row>
    <row r="5188" spans="1:2" x14ac:dyDescent="0.3">
      <c r="A5188" s="5" t="str">
        <f>HYPERLINK("http://www.eatonpowersource.com/products/configure/industrial%20valves/details/864an00030a","864AN00030A")</f>
        <v>864AN00030A</v>
      </c>
      <c r="B5188" s="6" t="s">
        <v>5147</v>
      </c>
    </row>
    <row r="5189" spans="1:2" x14ac:dyDescent="0.3">
      <c r="A5189" s="7" t="str">
        <f>HYPERLINK("http://www.eatonpowersource.com/products/configure/industrial%20valves/details/864an00031a","864AN00031A")</f>
        <v>864AN00031A</v>
      </c>
      <c r="B5189" s="8" t="s">
        <v>5148</v>
      </c>
    </row>
    <row r="5190" spans="1:2" x14ac:dyDescent="0.3">
      <c r="A5190" s="5" t="str">
        <f>HYPERLINK("http://www.eatonpowersource.com/products/configure/industrial%20valves/details/864an00032a","864AN00032A")</f>
        <v>864AN00032A</v>
      </c>
      <c r="B5190" s="6" t="s">
        <v>5149</v>
      </c>
    </row>
    <row r="5191" spans="1:2" x14ac:dyDescent="0.3">
      <c r="A5191" s="7" t="str">
        <f>HYPERLINK("http://www.eatonpowersource.com/products/configure/industrial%20valves/details/864an00033a","864AN00033A")</f>
        <v>864AN00033A</v>
      </c>
      <c r="B5191" s="8" t="s">
        <v>5150</v>
      </c>
    </row>
    <row r="5192" spans="1:2" x14ac:dyDescent="0.3">
      <c r="A5192" s="5" t="str">
        <f>HYPERLINK("http://www.eatonpowersource.com/products/configure/industrial%20valves/details/864an00034a","864AN00034A")</f>
        <v>864AN00034A</v>
      </c>
      <c r="B5192" s="6" t="s">
        <v>5151</v>
      </c>
    </row>
    <row r="5193" spans="1:2" x14ac:dyDescent="0.3">
      <c r="A5193" s="7" t="str">
        <f>HYPERLINK("http://www.eatonpowersource.com/products/configure/industrial%20valves/details/864an00035a","864AN00035A")</f>
        <v>864AN00035A</v>
      </c>
      <c r="B5193" s="8" t="s">
        <v>5152</v>
      </c>
    </row>
    <row r="5194" spans="1:2" x14ac:dyDescent="0.3">
      <c r="A5194" s="5" t="str">
        <f>HYPERLINK("http://www.eatonpowersource.com/products/configure/industrial%20valves/details/864an00036a","864AN00036A")</f>
        <v>864AN00036A</v>
      </c>
      <c r="B5194" s="6" t="s">
        <v>5153</v>
      </c>
    </row>
    <row r="5195" spans="1:2" x14ac:dyDescent="0.3">
      <c r="A5195" s="7" t="str">
        <f>HYPERLINK("http://www.eatonpowersource.com/products/configure/industrial%20valves/details/864an00037a","864AN00037A")</f>
        <v>864AN00037A</v>
      </c>
      <c r="B5195" s="8" t="s">
        <v>5154</v>
      </c>
    </row>
    <row r="5196" spans="1:2" x14ac:dyDescent="0.3">
      <c r="A5196" s="5" t="str">
        <f>HYPERLINK("http://www.eatonpowersource.com/products/configure/industrial%20valves/details/864an00038a","864AN00038A")</f>
        <v>864AN00038A</v>
      </c>
      <c r="B5196" s="6" t="s">
        <v>5155</v>
      </c>
    </row>
    <row r="5197" spans="1:2" x14ac:dyDescent="0.3">
      <c r="A5197" s="7" t="str">
        <f>HYPERLINK("http://www.eatonpowersource.com/products/configure/industrial%20valves/details/864an00039a","864AN00039A")</f>
        <v>864AN00039A</v>
      </c>
      <c r="B5197" s="8" t="s">
        <v>5156</v>
      </c>
    </row>
    <row r="5198" spans="1:2" x14ac:dyDescent="0.3">
      <c r="A5198" s="5" t="str">
        <f>HYPERLINK("http://www.eatonpowersource.com/products/configure/industrial%20valves/details/864an00040a","864AN00040A")</f>
        <v>864AN00040A</v>
      </c>
      <c r="B5198" s="6" t="s">
        <v>5157</v>
      </c>
    </row>
    <row r="5199" spans="1:2" x14ac:dyDescent="0.3">
      <c r="A5199" s="7" t="str">
        <f>HYPERLINK("http://www.eatonpowersource.com/products/configure/industrial%20valves/details/864an00041a","864AN00041A")</f>
        <v>864AN00041A</v>
      </c>
      <c r="B5199" s="8" t="s">
        <v>5158</v>
      </c>
    </row>
    <row r="5200" spans="1:2" x14ac:dyDescent="0.3">
      <c r="A5200" s="5" t="str">
        <f>HYPERLINK("http://www.eatonpowersource.com/products/configure/industrial%20valves/details/864an00042a","864AN00042A")</f>
        <v>864AN00042A</v>
      </c>
      <c r="B5200" s="6" t="s">
        <v>5159</v>
      </c>
    </row>
    <row r="5201" spans="1:2" x14ac:dyDescent="0.3">
      <c r="A5201" s="7" t="str">
        <f>HYPERLINK("http://www.eatonpowersource.com/products/configure/industrial%20valves/details/864an00043a","864AN00043A")</f>
        <v>864AN00043A</v>
      </c>
      <c r="B5201" s="8" t="s">
        <v>5160</v>
      </c>
    </row>
    <row r="5202" spans="1:2" x14ac:dyDescent="0.3">
      <c r="A5202" s="5" t="str">
        <f>HYPERLINK("http://www.eatonpowersource.com/products/configure/industrial%20valves/details/864an00044a","864AN00044A")</f>
        <v>864AN00044A</v>
      </c>
      <c r="B5202" s="6" t="s">
        <v>5161</v>
      </c>
    </row>
    <row r="5203" spans="1:2" x14ac:dyDescent="0.3">
      <c r="A5203" s="7" t="str">
        <f>HYPERLINK("http://www.eatonpowersource.com/products/configure/industrial%20valves/details/864an00045a","864AN00045A")</f>
        <v>864AN00045A</v>
      </c>
      <c r="B5203" s="8" t="s">
        <v>5162</v>
      </c>
    </row>
    <row r="5204" spans="1:2" x14ac:dyDescent="0.3">
      <c r="A5204" s="5" t="str">
        <f>HYPERLINK("http://www.eatonpowersource.com/products/configure/industrial%20valves/details/864an00046a","864AN00046A")</f>
        <v>864AN00046A</v>
      </c>
      <c r="B5204" s="6" t="s">
        <v>5163</v>
      </c>
    </row>
    <row r="5205" spans="1:2" x14ac:dyDescent="0.3">
      <c r="A5205" s="7" t="str">
        <f>HYPERLINK("http://www.eatonpowersource.com/products/configure/industrial%20valves/details/864an00047a","864AN00047A")</f>
        <v>864AN00047A</v>
      </c>
      <c r="B5205" s="8" t="s">
        <v>5164</v>
      </c>
    </row>
    <row r="5206" spans="1:2" x14ac:dyDescent="0.3">
      <c r="A5206" s="5" t="str">
        <f>HYPERLINK("http://www.eatonpowersource.com/products/configure/industrial%20valves/details/864an00048a","864AN00048A")</f>
        <v>864AN00048A</v>
      </c>
      <c r="B5206" s="6" t="s">
        <v>5165</v>
      </c>
    </row>
    <row r="5207" spans="1:2" x14ac:dyDescent="0.3">
      <c r="A5207" s="7" t="str">
        <f>HYPERLINK("http://www.eatonpowersource.com/products/configure/industrial%20valves/details/864an00049a","864AN00049A")</f>
        <v>864AN00049A</v>
      </c>
      <c r="B5207" s="8" t="s">
        <v>5166</v>
      </c>
    </row>
    <row r="5208" spans="1:2" x14ac:dyDescent="0.3">
      <c r="A5208" s="5" t="str">
        <f>HYPERLINK("http://www.eatonpowersource.com/products/configure/industrial%20valves/details/864an00050a","864AN00050A")</f>
        <v>864AN00050A</v>
      </c>
      <c r="B5208" s="6" t="s">
        <v>5167</v>
      </c>
    </row>
    <row r="5209" spans="1:2" x14ac:dyDescent="0.3">
      <c r="A5209" s="7" t="str">
        <f>HYPERLINK("http://www.eatonpowersource.com/products/configure/industrial%20valves/details/864an00051a","864AN00051A")</f>
        <v>864AN00051A</v>
      </c>
      <c r="B5209" s="8" t="s">
        <v>5168</v>
      </c>
    </row>
    <row r="5210" spans="1:2" x14ac:dyDescent="0.3">
      <c r="A5210" s="5" t="str">
        <f>HYPERLINK("http://www.eatonpowersource.com/products/configure/industrial%20valves/details/864an00052a","864AN00052A")</f>
        <v>864AN00052A</v>
      </c>
      <c r="B5210" s="6" t="s">
        <v>5169</v>
      </c>
    </row>
    <row r="5211" spans="1:2" x14ac:dyDescent="0.3">
      <c r="A5211" s="7" t="str">
        <f>HYPERLINK("http://www.eatonpowersource.com/products/configure/industrial%20valves/details/864an00053a","864AN00053A")</f>
        <v>864AN00053A</v>
      </c>
      <c r="B5211" s="8" t="s">
        <v>5170</v>
      </c>
    </row>
    <row r="5212" spans="1:2" x14ac:dyDescent="0.3">
      <c r="A5212" s="5" t="str">
        <f>HYPERLINK("http://www.eatonpowersource.com/products/configure/industrial%20valves/details/864an00058a","864AN00058A")</f>
        <v>864AN00058A</v>
      </c>
      <c r="B5212" s="6" t="s">
        <v>5171</v>
      </c>
    </row>
    <row r="5213" spans="1:2" x14ac:dyDescent="0.3">
      <c r="A5213" s="7" t="str">
        <f>HYPERLINK("http://www.eatonpowersource.com/products/configure/industrial%20valves/details/864an00071a","864AN00071A")</f>
        <v>864AN00071A</v>
      </c>
      <c r="B5213" s="8" t="s">
        <v>5172</v>
      </c>
    </row>
    <row r="5214" spans="1:2" x14ac:dyDescent="0.3">
      <c r="A5214" s="5" t="str">
        <f>HYPERLINK("http://www.eatonpowersource.com/products/configure/industrial%20valves/details/864an00072a","864AN00072A")</f>
        <v>864AN00072A</v>
      </c>
      <c r="B5214" s="6" t="s">
        <v>5173</v>
      </c>
    </row>
    <row r="5215" spans="1:2" x14ac:dyDescent="0.3">
      <c r="A5215" s="7" t="str">
        <f>HYPERLINK("http://www.eatonpowersource.com/products/configure/industrial%20valves/details/864an00073a","864AN00073A")</f>
        <v>864AN00073A</v>
      </c>
      <c r="B5215" s="8" t="s">
        <v>5174</v>
      </c>
    </row>
    <row r="5216" spans="1:2" x14ac:dyDescent="0.3">
      <c r="A5216" s="5" t="str">
        <f>HYPERLINK("http://www.eatonpowersource.com/products/configure/industrial%20valves/details/864an00074a","864AN00074A")</f>
        <v>864AN00074A</v>
      </c>
      <c r="B5216" s="6" t="s">
        <v>5175</v>
      </c>
    </row>
    <row r="5217" spans="1:2" x14ac:dyDescent="0.3">
      <c r="A5217" s="7" t="str">
        <f>HYPERLINK("http://www.eatonpowersource.com/products/configure/industrial%20valves/details/864an00075a","864AN00075A")</f>
        <v>864AN00075A</v>
      </c>
      <c r="B5217" s="8" t="s">
        <v>5176</v>
      </c>
    </row>
    <row r="5218" spans="1:2" x14ac:dyDescent="0.3">
      <c r="A5218" s="5" t="str">
        <f>HYPERLINK("http://www.eatonpowersource.com/products/configure/industrial%20valves/details/864an00077a","864AN00077A")</f>
        <v>864AN00077A</v>
      </c>
      <c r="B5218" s="6" t="s">
        <v>5177</v>
      </c>
    </row>
    <row r="5219" spans="1:2" x14ac:dyDescent="0.3">
      <c r="A5219" s="7" t="str">
        <f>HYPERLINK("http://www.eatonpowersource.com/products/configure/industrial%20valves/details/864an00080a","864AN00080A")</f>
        <v>864AN00080A</v>
      </c>
      <c r="B5219" s="8" t="s">
        <v>5178</v>
      </c>
    </row>
    <row r="5220" spans="1:2" x14ac:dyDescent="0.3">
      <c r="A5220" s="5" t="str">
        <f>HYPERLINK("http://www.eatonpowersource.com/products/configure/industrial%20valves/details/864an00082a","864AN00082A")</f>
        <v>864AN00082A</v>
      </c>
      <c r="B5220" s="6" t="s">
        <v>5179</v>
      </c>
    </row>
    <row r="5221" spans="1:2" x14ac:dyDescent="0.3">
      <c r="A5221" s="7" t="str">
        <f>HYPERLINK("http://www.eatonpowersource.com/products/configure/industrial%20valves/details/864an00084a","864AN00084A")</f>
        <v>864AN00084A</v>
      </c>
      <c r="B5221" s="8" t="s">
        <v>5180</v>
      </c>
    </row>
    <row r="5222" spans="1:2" x14ac:dyDescent="0.3">
      <c r="A5222" s="5" t="str">
        <f>HYPERLINK("http://www.eatonpowersource.com/products/configure/industrial%20valves/details/864an00086a","864AN00086A")</f>
        <v>864AN00086A</v>
      </c>
      <c r="B5222" s="6" t="s">
        <v>5181</v>
      </c>
    </row>
    <row r="5223" spans="1:2" x14ac:dyDescent="0.3">
      <c r="A5223" s="7" t="str">
        <f>HYPERLINK("http://www.eatonpowersource.com/products/configure/industrial%20valves/details/864an00087a","864AN00087A")</f>
        <v>864AN00087A</v>
      </c>
      <c r="B5223" s="8" t="s">
        <v>5182</v>
      </c>
    </row>
    <row r="5224" spans="1:2" x14ac:dyDescent="0.3">
      <c r="A5224" s="5" t="str">
        <f>HYPERLINK("http://www.eatonpowersource.com/products/configure/industrial%20valves/details/864an00088a","864AN00088A")</f>
        <v>864AN00088A</v>
      </c>
      <c r="B5224" s="6" t="s">
        <v>5183</v>
      </c>
    </row>
    <row r="5225" spans="1:2" x14ac:dyDescent="0.3">
      <c r="A5225" s="7" t="str">
        <f>HYPERLINK("http://www.eatonpowersource.com/products/configure/industrial%20valves/details/864an00089a","864AN00089A")</f>
        <v>864AN00089A</v>
      </c>
      <c r="B5225" s="8" t="s">
        <v>5184</v>
      </c>
    </row>
    <row r="5226" spans="1:2" x14ac:dyDescent="0.3">
      <c r="A5226" s="5" t="str">
        <f>HYPERLINK("http://www.eatonpowersource.com/products/configure/industrial%20valves/details/864an00090a","864AN00090A")</f>
        <v>864AN00090A</v>
      </c>
      <c r="B5226" s="6" t="s">
        <v>5185</v>
      </c>
    </row>
    <row r="5227" spans="1:2" x14ac:dyDescent="0.3">
      <c r="A5227" s="7" t="str">
        <f>HYPERLINK("http://www.eatonpowersource.com/products/configure/industrial%20valves/details/864an00091a","864AN00091A")</f>
        <v>864AN00091A</v>
      </c>
      <c r="B5227" s="8" t="s">
        <v>5186</v>
      </c>
    </row>
    <row r="5228" spans="1:2" x14ac:dyDescent="0.3">
      <c r="A5228" s="5" t="str">
        <f>HYPERLINK("http://www.eatonpowersource.com/products/configure/industrial%20valves/details/864an00092a","864AN00092A")</f>
        <v>864AN00092A</v>
      </c>
      <c r="B5228" s="6" t="s">
        <v>5187</v>
      </c>
    </row>
    <row r="5229" spans="1:2" x14ac:dyDescent="0.3">
      <c r="A5229" s="7" t="str">
        <f>HYPERLINK("http://www.eatonpowersource.com/products/configure/industrial%20valves/details/864an00097a","864AN00097A")</f>
        <v>864AN00097A</v>
      </c>
      <c r="B5229" s="8" t="s">
        <v>5188</v>
      </c>
    </row>
    <row r="5230" spans="1:2" x14ac:dyDescent="0.3">
      <c r="A5230" s="5" t="str">
        <f>HYPERLINK("http://www.eatonpowersource.com/products/configure/industrial%20valves/details/864an00098a","864AN00098A")</f>
        <v>864AN00098A</v>
      </c>
      <c r="B5230" s="6" t="s">
        <v>5189</v>
      </c>
    </row>
    <row r="5231" spans="1:2" x14ac:dyDescent="0.3">
      <c r="A5231" s="7" t="str">
        <f>HYPERLINK("http://www.eatonpowersource.com/products/configure/industrial%20valves/details/864an00100a","864AN00100A")</f>
        <v>864AN00100A</v>
      </c>
      <c r="B5231" s="8" t="s">
        <v>5190</v>
      </c>
    </row>
    <row r="5232" spans="1:2" x14ac:dyDescent="0.3">
      <c r="A5232" s="5" t="str">
        <f>HYPERLINK("http://www.eatonpowersource.com/products/configure/industrial%20valves/details/864an00102a","864AN00102A")</f>
        <v>864AN00102A</v>
      </c>
      <c r="B5232" s="6" t="s">
        <v>5191</v>
      </c>
    </row>
    <row r="5233" spans="1:2" x14ac:dyDescent="0.3">
      <c r="A5233" s="7" t="str">
        <f>HYPERLINK("http://www.eatonpowersource.com/products/configure/industrial%20valves/details/864an00103a","864AN00103A")</f>
        <v>864AN00103A</v>
      </c>
      <c r="B5233" s="8" t="s">
        <v>5192</v>
      </c>
    </row>
    <row r="5234" spans="1:2" x14ac:dyDescent="0.3">
      <c r="A5234" s="5" t="str">
        <f>HYPERLINK("http://www.eatonpowersource.com/products/configure/industrial%20valves/details/864an00104a","864AN00104A")</f>
        <v>864AN00104A</v>
      </c>
      <c r="B5234" s="6" t="s">
        <v>5193</v>
      </c>
    </row>
    <row r="5235" spans="1:2" x14ac:dyDescent="0.3">
      <c r="A5235" s="7" t="str">
        <f>HYPERLINK("http://www.eatonpowersource.com/products/configure/industrial%20valves/details/864an00105a","864AN00105A")</f>
        <v>864AN00105A</v>
      </c>
      <c r="B5235" s="8" t="s">
        <v>5194</v>
      </c>
    </row>
    <row r="5236" spans="1:2" x14ac:dyDescent="0.3">
      <c r="A5236" s="5" t="str">
        <f>HYPERLINK("http://www.eatonpowersource.com/products/configure/industrial%20valves/details/864an00106a","864AN00106A")</f>
        <v>864AN00106A</v>
      </c>
      <c r="B5236" s="6" t="s">
        <v>5195</v>
      </c>
    </row>
    <row r="5237" spans="1:2" x14ac:dyDescent="0.3">
      <c r="A5237" s="7" t="str">
        <f>HYPERLINK("http://www.eatonpowersource.com/products/configure/industrial%20valves/details/864an00107a","864AN00107A")</f>
        <v>864AN00107A</v>
      </c>
      <c r="B5237" s="8" t="s">
        <v>5196</v>
      </c>
    </row>
    <row r="5238" spans="1:2" x14ac:dyDescent="0.3">
      <c r="A5238" s="5" t="str">
        <f>HYPERLINK("http://www.eatonpowersource.com/products/configure/industrial%20valves/details/864an00108a","864AN00108A")</f>
        <v>864AN00108A</v>
      </c>
      <c r="B5238" s="6" t="s">
        <v>5197</v>
      </c>
    </row>
    <row r="5239" spans="1:2" x14ac:dyDescent="0.3">
      <c r="A5239" s="7" t="str">
        <f>HYPERLINK("http://www.eatonpowersource.com/products/configure/industrial%20valves/details/864an00109a","864AN00109A")</f>
        <v>864AN00109A</v>
      </c>
      <c r="B5239" s="8" t="s">
        <v>5198</v>
      </c>
    </row>
    <row r="5240" spans="1:2" x14ac:dyDescent="0.3">
      <c r="A5240" s="5" t="str">
        <f>HYPERLINK("http://www.eatonpowersource.com/products/configure/industrial%20valves/details/864an00110a","864AN00110A")</f>
        <v>864AN00110A</v>
      </c>
      <c r="B5240" s="6" t="s">
        <v>5199</v>
      </c>
    </row>
    <row r="5241" spans="1:2" x14ac:dyDescent="0.3">
      <c r="A5241" s="7" t="str">
        <f>HYPERLINK("http://www.eatonpowersource.com/products/configure/industrial%20valves/details/864an00111a","864AN00111A")</f>
        <v>864AN00111A</v>
      </c>
      <c r="B5241" s="8" t="s">
        <v>5200</v>
      </c>
    </row>
    <row r="5242" spans="1:2" x14ac:dyDescent="0.3">
      <c r="A5242" s="5" t="str">
        <f>HYPERLINK("http://www.eatonpowersource.com/products/configure/industrial%20valves/details/864an00112a","864AN00112A")</f>
        <v>864AN00112A</v>
      </c>
      <c r="B5242" s="6" t="s">
        <v>5201</v>
      </c>
    </row>
    <row r="5243" spans="1:2" x14ac:dyDescent="0.3">
      <c r="A5243" s="7" t="str">
        <f>HYPERLINK("http://www.eatonpowersource.com/products/configure/industrial%20valves/details/864an00114a","864AN00114A")</f>
        <v>864AN00114A</v>
      </c>
      <c r="B5243" s="8" t="s">
        <v>5202</v>
      </c>
    </row>
    <row r="5244" spans="1:2" x14ac:dyDescent="0.3">
      <c r="A5244" s="5" t="str">
        <f>HYPERLINK("http://www.eatonpowersource.com/products/configure/industrial%20valves/details/864an00117a","864AN00117A")</f>
        <v>864AN00117A</v>
      </c>
      <c r="B5244" s="6" t="s">
        <v>5203</v>
      </c>
    </row>
    <row r="5245" spans="1:2" x14ac:dyDescent="0.3">
      <c r="A5245" s="7" t="str">
        <f>HYPERLINK("http://www.eatonpowersource.com/products/configure/industrial%20valves/details/864an00118a","864AN00118A")</f>
        <v>864AN00118A</v>
      </c>
      <c r="B5245" s="8" t="s">
        <v>5204</v>
      </c>
    </row>
    <row r="5246" spans="1:2" x14ac:dyDescent="0.3">
      <c r="A5246" s="5" t="str">
        <f>HYPERLINK("http://www.eatonpowersource.com/products/configure/industrial%20valves/details/864an00119a","864AN00119A")</f>
        <v>864AN00119A</v>
      </c>
      <c r="B5246" s="6" t="s">
        <v>5205</v>
      </c>
    </row>
    <row r="5247" spans="1:2" x14ac:dyDescent="0.3">
      <c r="A5247" s="7" t="str">
        <f>HYPERLINK("http://www.eatonpowersource.com/products/configure/industrial%20valves/details/864an00120a","864AN00120A")</f>
        <v>864AN00120A</v>
      </c>
      <c r="B5247" s="8" t="s">
        <v>5206</v>
      </c>
    </row>
    <row r="5248" spans="1:2" x14ac:dyDescent="0.3">
      <c r="A5248" s="5" t="str">
        <f>HYPERLINK("http://www.eatonpowersource.com/products/configure/industrial%20valves/details/864an00121a","864AN00121A")</f>
        <v>864AN00121A</v>
      </c>
      <c r="B5248" s="6" t="s">
        <v>5207</v>
      </c>
    </row>
    <row r="5249" spans="1:2" x14ac:dyDescent="0.3">
      <c r="A5249" s="7" t="str">
        <f>HYPERLINK("http://www.eatonpowersource.com/products/configure/industrial%20valves/details/864an00122a","864AN00122A")</f>
        <v>864AN00122A</v>
      </c>
      <c r="B5249" s="8" t="s">
        <v>5208</v>
      </c>
    </row>
    <row r="5250" spans="1:2" x14ac:dyDescent="0.3">
      <c r="A5250" s="5" t="str">
        <f>HYPERLINK("http://www.eatonpowersource.com/products/configure/industrial%20valves/details/864an00123a","864AN00123A")</f>
        <v>864AN00123A</v>
      </c>
      <c r="B5250" s="6" t="s">
        <v>5209</v>
      </c>
    </row>
    <row r="5251" spans="1:2" x14ac:dyDescent="0.3">
      <c r="A5251" s="7" t="str">
        <f>HYPERLINK("http://www.eatonpowersource.com/products/configure/industrial%20valves/details/864an00124a","864AN00124A")</f>
        <v>864AN00124A</v>
      </c>
      <c r="B5251" s="8" t="s">
        <v>5210</v>
      </c>
    </row>
    <row r="5252" spans="1:2" x14ac:dyDescent="0.3">
      <c r="A5252" s="5" t="str">
        <f>HYPERLINK("http://www.eatonpowersource.com/products/configure/industrial%20valves/details/869899","869899")</f>
        <v>869899</v>
      </c>
      <c r="B5252" s="6" t="s">
        <v>5211</v>
      </c>
    </row>
    <row r="5253" spans="1:2" x14ac:dyDescent="0.3">
      <c r="A5253" s="7" t="str">
        <f>HYPERLINK("http://www.eatonpowersource.com/products/configure/industrial%20valves/details/869901","869901")</f>
        <v>869901</v>
      </c>
      <c r="B5253" s="8" t="s">
        <v>5212</v>
      </c>
    </row>
    <row r="5254" spans="1:2" x14ac:dyDescent="0.3">
      <c r="A5254" s="5" t="str">
        <f>HYPERLINK("http://www.eatonpowersource.com/products/configure/industrial%20valves/details/871722","871722")</f>
        <v>871722</v>
      </c>
      <c r="B5254" s="6" t="s">
        <v>5213</v>
      </c>
    </row>
    <row r="5255" spans="1:2" x14ac:dyDescent="0.3">
      <c r="A5255" s="7" t="str">
        <f>HYPERLINK("http://www.eatonpowersource.com/products/configure/industrial%20valves/details/871751","871751")</f>
        <v>871751</v>
      </c>
      <c r="B5255" s="8" t="s">
        <v>5214</v>
      </c>
    </row>
    <row r="5256" spans="1:2" x14ac:dyDescent="0.3">
      <c r="A5256" s="5" t="str">
        <f>HYPERLINK("http://www.eatonpowersource.com/products/configure/industrial%20valves/details/871918","871918")</f>
        <v>871918</v>
      </c>
      <c r="B5256" s="6" t="s">
        <v>5215</v>
      </c>
    </row>
    <row r="5257" spans="1:2" x14ac:dyDescent="0.3">
      <c r="A5257" s="7" t="str">
        <f>HYPERLINK("http://www.eatonpowersource.com/products/configure/industrial%20valves/details/871920","871920")</f>
        <v>871920</v>
      </c>
      <c r="B5257" s="8" t="s">
        <v>5216</v>
      </c>
    </row>
    <row r="5258" spans="1:2" x14ac:dyDescent="0.3">
      <c r="A5258" s="5" t="str">
        <f>HYPERLINK("http://www.eatonpowersource.com/products/configure/industrial%20valves/details/871921","871921")</f>
        <v>871921</v>
      </c>
      <c r="B5258" s="6" t="s">
        <v>5217</v>
      </c>
    </row>
    <row r="5259" spans="1:2" x14ac:dyDescent="0.3">
      <c r="A5259" s="7" t="str">
        <f>HYPERLINK("http://www.eatonpowersource.com/products/configure/industrial%20valves/details/871922","871922")</f>
        <v>871922</v>
      </c>
      <c r="B5259" s="8" t="s">
        <v>5218</v>
      </c>
    </row>
    <row r="5260" spans="1:2" x14ac:dyDescent="0.3">
      <c r="A5260" s="5" t="str">
        <f>HYPERLINK("http://www.eatonpowersource.com/products/configure/industrial%20valves/details/871923","871923")</f>
        <v>871923</v>
      </c>
      <c r="B5260" s="6" t="s">
        <v>5219</v>
      </c>
    </row>
    <row r="5261" spans="1:2" x14ac:dyDescent="0.3">
      <c r="A5261" s="7" t="str">
        <f>HYPERLINK("http://www.eatonpowersource.com/products/configure/industrial%20valves/details/871924","871924")</f>
        <v>871924</v>
      </c>
      <c r="B5261" s="8" t="s">
        <v>5220</v>
      </c>
    </row>
    <row r="5262" spans="1:2" x14ac:dyDescent="0.3">
      <c r="A5262" s="5" t="str">
        <f>HYPERLINK("http://www.eatonpowersource.com/products/configure/industrial%20valves/details/871939","871939")</f>
        <v>871939</v>
      </c>
      <c r="B5262" s="6" t="s">
        <v>5221</v>
      </c>
    </row>
    <row r="5263" spans="1:2" x14ac:dyDescent="0.3">
      <c r="A5263" s="7" t="str">
        <f>HYPERLINK("http://www.eatonpowersource.com/products/configure/industrial%20valves/details/872016","872016")</f>
        <v>872016</v>
      </c>
      <c r="B5263" s="8" t="s">
        <v>5222</v>
      </c>
    </row>
    <row r="5264" spans="1:2" x14ac:dyDescent="0.3">
      <c r="A5264" s="5" t="str">
        <f>HYPERLINK("http://www.eatonpowersource.com/products/configure/industrial%20valves/details/02-108003","02-108003")</f>
        <v>02-108003</v>
      </c>
      <c r="B5264" s="6" t="s">
        <v>5223</v>
      </c>
    </row>
    <row r="5265" spans="1:2" x14ac:dyDescent="0.3">
      <c r="A5265" s="7" t="str">
        <f>HYPERLINK("http://www.eatonpowersource.com/products/configure/industrial%20valves/details/02-108004","02-108004")</f>
        <v>02-108004</v>
      </c>
      <c r="B5265" s="8" t="s">
        <v>5224</v>
      </c>
    </row>
    <row r="5266" spans="1:2" x14ac:dyDescent="0.3">
      <c r="A5266" s="5" t="str">
        <f>HYPERLINK("http://www.eatonpowersource.com/products/configure/industrial%20valves/details/02-108055","02-108055")</f>
        <v>02-108055</v>
      </c>
      <c r="B5266" s="6" t="s">
        <v>5225</v>
      </c>
    </row>
    <row r="5267" spans="1:2" x14ac:dyDescent="0.3">
      <c r="A5267" s="7" t="str">
        <f>HYPERLINK("http://www.eatonpowersource.com/products/configure/industrial%20valves/details/02-108076","02-108076")</f>
        <v>02-108076</v>
      </c>
      <c r="B5267" s="8" t="s">
        <v>5226</v>
      </c>
    </row>
    <row r="5268" spans="1:2" x14ac:dyDescent="0.3">
      <c r="A5268" s="5" t="str">
        <f>HYPERLINK("http://www.eatonpowersource.com/products/configure/industrial%20valves/details/02-108091","02-108091")</f>
        <v>02-108091</v>
      </c>
      <c r="B5268" s="6" t="s">
        <v>5227</v>
      </c>
    </row>
    <row r="5269" spans="1:2" x14ac:dyDescent="0.3">
      <c r="A5269" s="7" t="str">
        <f>HYPERLINK("http://www.eatonpowersource.com/products/configure/industrial%20valves/details/02-108113","02-108113")</f>
        <v>02-108113</v>
      </c>
      <c r="B5269" s="8" t="s">
        <v>5228</v>
      </c>
    </row>
    <row r="5270" spans="1:2" x14ac:dyDescent="0.3">
      <c r="A5270" s="5" t="str">
        <f>HYPERLINK("http://www.eatonpowersource.com/products/configure/industrial%20valves/details/02-108115","02-108115")</f>
        <v>02-108115</v>
      </c>
      <c r="B5270" s="6" t="s">
        <v>5229</v>
      </c>
    </row>
    <row r="5271" spans="1:2" x14ac:dyDescent="0.3">
      <c r="A5271" s="7" t="str">
        <f>HYPERLINK("http://www.eatonpowersource.com/products/configure/industrial%20valves/details/02-108166","02-108166")</f>
        <v>02-108166</v>
      </c>
      <c r="B5271" s="8" t="s">
        <v>5230</v>
      </c>
    </row>
    <row r="5272" spans="1:2" x14ac:dyDescent="0.3">
      <c r="A5272" s="5" t="str">
        <f>HYPERLINK("http://www.eatonpowersource.com/products/configure/industrial%20valves/details/02-108171","02-108171")</f>
        <v>02-108171</v>
      </c>
      <c r="B5272" s="6" t="s">
        <v>5231</v>
      </c>
    </row>
    <row r="5273" spans="1:2" x14ac:dyDescent="0.3">
      <c r="A5273" s="7" t="str">
        <f>HYPERLINK("http://www.eatonpowersource.com/products/configure/industrial%20valves/details/02-108175","02-108175")</f>
        <v>02-108175</v>
      </c>
      <c r="B5273" s="8" t="s">
        <v>5232</v>
      </c>
    </row>
    <row r="5274" spans="1:2" x14ac:dyDescent="0.3">
      <c r="A5274" s="5" t="str">
        <f>HYPERLINK("http://www.eatonpowersource.com/products/configure/industrial%20valves/details/02-108313","02-108313")</f>
        <v>02-108313</v>
      </c>
      <c r="B5274" s="6" t="s">
        <v>5233</v>
      </c>
    </row>
    <row r="5275" spans="1:2" x14ac:dyDescent="0.3">
      <c r="A5275" s="7" t="str">
        <f>HYPERLINK("http://www.eatonpowersource.com/products/configure/industrial%20valves/details/02-108424","02-108424")</f>
        <v>02-108424</v>
      </c>
      <c r="B5275" s="8" t="s">
        <v>5234</v>
      </c>
    </row>
    <row r="5276" spans="1:2" x14ac:dyDescent="0.3">
      <c r="A5276" s="5" t="str">
        <f>HYPERLINK("http://www.eatonpowersource.com/products/configure/industrial%20valves/details/02-108508","02-108508")</f>
        <v>02-108508</v>
      </c>
      <c r="B5276" s="6" t="s">
        <v>5235</v>
      </c>
    </row>
    <row r="5277" spans="1:2" x14ac:dyDescent="0.3">
      <c r="A5277" s="7" t="str">
        <f>HYPERLINK("http://www.eatonpowersource.com/products/configure/industrial%20valves/details/02-108551","02-108551")</f>
        <v>02-108551</v>
      </c>
      <c r="B5277" s="8" t="s">
        <v>5236</v>
      </c>
    </row>
    <row r="5278" spans="1:2" x14ac:dyDescent="0.3">
      <c r="A5278" s="5" t="str">
        <f>HYPERLINK("http://www.eatonpowersource.com/products/configure/industrial%20valves/details/02-108603","02-108603")</f>
        <v>02-108603</v>
      </c>
      <c r="B5278" s="6" t="s">
        <v>5237</v>
      </c>
    </row>
    <row r="5279" spans="1:2" x14ac:dyDescent="0.3">
      <c r="A5279" s="7" t="str">
        <f>HYPERLINK("http://www.eatonpowersource.com/products/configure/industrial%20valves/details/02-108672","02-108672")</f>
        <v>02-108672</v>
      </c>
      <c r="B5279" s="8" t="s">
        <v>5238</v>
      </c>
    </row>
    <row r="5280" spans="1:2" x14ac:dyDescent="0.3">
      <c r="A5280" s="5" t="str">
        <f>HYPERLINK("http://www.eatonpowersource.com/products/configure/industrial%20valves/details/02-108674","02-108674")</f>
        <v>02-108674</v>
      </c>
      <c r="B5280" s="6" t="s">
        <v>5239</v>
      </c>
    </row>
    <row r="5281" spans="1:2" x14ac:dyDescent="0.3">
      <c r="A5281" s="7" t="str">
        <f>HYPERLINK("http://www.eatonpowersource.com/products/configure/industrial%20valves/details/02-108682","02-108682")</f>
        <v>02-108682</v>
      </c>
      <c r="B5281" s="8" t="s">
        <v>5240</v>
      </c>
    </row>
    <row r="5282" spans="1:2" x14ac:dyDescent="0.3">
      <c r="A5282" s="5" t="str">
        <f>HYPERLINK("http://www.eatonpowersource.com/products/configure/industrial%20valves/details/02-108688","02-108688")</f>
        <v>02-108688</v>
      </c>
      <c r="B5282" s="6" t="s">
        <v>5241</v>
      </c>
    </row>
    <row r="5283" spans="1:2" x14ac:dyDescent="0.3">
      <c r="A5283" s="7" t="str">
        <f>HYPERLINK("http://www.eatonpowersource.com/products/configure/industrial%20valves/details/02-108754","02-108754")</f>
        <v>02-108754</v>
      </c>
      <c r="B5283" s="8" t="s">
        <v>5242</v>
      </c>
    </row>
    <row r="5284" spans="1:2" x14ac:dyDescent="0.3">
      <c r="A5284" s="5" t="str">
        <f>HYPERLINK("http://www.eatonpowersource.com/products/configure/industrial%20valves/details/02-108755","02-108755")</f>
        <v>02-108755</v>
      </c>
      <c r="B5284" s="6" t="s">
        <v>5243</v>
      </c>
    </row>
    <row r="5285" spans="1:2" x14ac:dyDescent="0.3">
      <c r="A5285" s="7" t="str">
        <f>HYPERLINK("http://www.eatonpowersource.com/products/configure/industrial%20valves/details/02-108804","02-108804")</f>
        <v>02-108804</v>
      </c>
      <c r="B5285" s="8" t="s">
        <v>5244</v>
      </c>
    </row>
    <row r="5286" spans="1:2" x14ac:dyDescent="0.3">
      <c r="A5286" s="5" t="str">
        <f>HYPERLINK("http://www.eatonpowersource.com/products/configure/industrial%20valves/details/02-108812","02-108812")</f>
        <v>02-108812</v>
      </c>
      <c r="B5286" s="6" t="s">
        <v>5245</v>
      </c>
    </row>
    <row r="5287" spans="1:2" x14ac:dyDescent="0.3">
      <c r="A5287" s="7" t="str">
        <f>HYPERLINK("http://www.eatonpowersource.com/products/configure/industrial%20valves/details/02-108880","02-108880")</f>
        <v>02-108880</v>
      </c>
      <c r="B5287" s="8" t="s">
        <v>5246</v>
      </c>
    </row>
    <row r="5288" spans="1:2" x14ac:dyDescent="0.3">
      <c r="A5288" s="5" t="str">
        <f>HYPERLINK("http://www.eatonpowersource.com/products/configure/industrial%20valves/details/02-108942","02-108942")</f>
        <v>02-108942</v>
      </c>
      <c r="B5288" s="6" t="s">
        <v>5247</v>
      </c>
    </row>
    <row r="5289" spans="1:2" x14ac:dyDescent="0.3">
      <c r="A5289" s="7" t="str">
        <f>HYPERLINK("http://www.eatonpowersource.com/products/configure/industrial%20valves/details/02-109154","02-109154")</f>
        <v>02-109154</v>
      </c>
      <c r="B5289" s="8" t="s">
        <v>5248</v>
      </c>
    </row>
    <row r="5290" spans="1:2" x14ac:dyDescent="0.3">
      <c r="A5290" s="5" t="str">
        <f>HYPERLINK("http://www.eatonpowersource.com/products/configure/industrial%20valves/details/02-109320","02-109320")</f>
        <v>02-109320</v>
      </c>
      <c r="B5290" s="6" t="s">
        <v>5249</v>
      </c>
    </row>
    <row r="5291" spans="1:2" x14ac:dyDescent="0.3">
      <c r="A5291" s="7" t="str">
        <f>HYPERLINK("http://www.eatonpowersource.com/products/configure/industrial%20valves/details/02-109322","02-109322")</f>
        <v>02-109322</v>
      </c>
      <c r="B5291" s="8" t="s">
        <v>5250</v>
      </c>
    </row>
    <row r="5292" spans="1:2" x14ac:dyDescent="0.3">
      <c r="A5292" s="5" t="str">
        <f>HYPERLINK("http://www.eatonpowersource.com/products/configure/industrial%20valves/details/02-109387","02-109387")</f>
        <v>02-109387</v>
      </c>
      <c r="B5292" s="6" t="s">
        <v>5251</v>
      </c>
    </row>
    <row r="5293" spans="1:2" x14ac:dyDescent="0.3">
      <c r="A5293" s="7" t="str">
        <f>HYPERLINK("http://www.eatonpowersource.com/products/configure/industrial%20valves/details/02-109504","02-109504")</f>
        <v>02-109504</v>
      </c>
      <c r="B5293" s="8" t="s">
        <v>5252</v>
      </c>
    </row>
    <row r="5294" spans="1:2" x14ac:dyDescent="0.3">
      <c r="A5294" s="5" t="str">
        <f>HYPERLINK("http://www.eatonpowersource.com/products/configure/industrial%20valves/details/02-109513","02-109513")</f>
        <v>02-109513</v>
      </c>
      <c r="B5294" s="6" t="s">
        <v>5253</v>
      </c>
    </row>
    <row r="5295" spans="1:2" x14ac:dyDescent="0.3">
      <c r="A5295" s="7" t="str">
        <f>HYPERLINK("http://www.eatonpowersource.com/products/configure/industrial%20valves/details/02-109533","02-109533")</f>
        <v>02-109533</v>
      </c>
      <c r="B5295" s="8" t="s">
        <v>5254</v>
      </c>
    </row>
    <row r="5296" spans="1:2" x14ac:dyDescent="0.3">
      <c r="A5296" s="5" t="str">
        <f>HYPERLINK("http://www.eatonpowersource.com/products/configure/industrial%20valves/details/02-109560","02-109560")</f>
        <v>02-109560</v>
      </c>
      <c r="B5296" s="6" t="s">
        <v>5255</v>
      </c>
    </row>
    <row r="5297" spans="1:2" x14ac:dyDescent="0.3">
      <c r="A5297" s="7" t="str">
        <f>HYPERLINK("http://www.eatonpowersource.com/products/configure/industrial%20valves/details/02-109926","02-109926")</f>
        <v>02-109926</v>
      </c>
      <c r="B5297" s="8" t="s">
        <v>5256</v>
      </c>
    </row>
    <row r="5298" spans="1:2" x14ac:dyDescent="0.3">
      <c r="A5298" s="5" t="str">
        <f>HYPERLINK("http://www.eatonpowersource.com/products/configure/industrial%20valves/details/02-109977","02-109977")</f>
        <v>02-109977</v>
      </c>
      <c r="B5298" s="6" t="s">
        <v>5257</v>
      </c>
    </row>
    <row r="5299" spans="1:2" x14ac:dyDescent="0.3">
      <c r="A5299" s="7" t="str">
        <f>HYPERLINK("http://www.eatonpowersource.com/products/configure/industrial%20valves/details/02-109978","02-109978")</f>
        <v>02-109978</v>
      </c>
      <c r="B5299" s="8" t="s">
        <v>5258</v>
      </c>
    </row>
    <row r="5300" spans="1:2" x14ac:dyDescent="0.3">
      <c r="A5300" s="5" t="str">
        <f>HYPERLINK("http://www.eatonpowersource.com/products/configure/industrial%20valves/details/02-109979","02-109979")</f>
        <v>02-109979</v>
      </c>
      <c r="B5300" s="6" t="s">
        <v>5259</v>
      </c>
    </row>
    <row r="5301" spans="1:2" x14ac:dyDescent="0.3">
      <c r="A5301" s="7" t="str">
        <f>HYPERLINK("http://www.eatonpowersource.com/products/configure/industrial%20valves/details/02-110092","02-110092")</f>
        <v>02-110092</v>
      </c>
      <c r="B5301" s="8" t="s">
        <v>5260</v>
      </c>
    </row>
    <row r="5302" spans="1:2" x14ac:dyDescent="0.3">
      <c r="A5302" s="5" t="str">
        <f>HYPERLINK("http://www.eatonpowersource.com/products/configure/industrial%20valves/details/02-110106","02-110106")</f>
        <v>02-110106</v>
      </c>
      <c r="B5302" s="6" t="s">
        <v>5261</v>
      </c>
    </row>
    <row r="5303" spans="1:2" x14ac:dyDescent="0.3">
      <c r="A5303" s="7" t="str">
        <f>HYPERLINK("http://www.eatonpowersource.com/products/configure/industrial%20valves/details/02-110279","02-110279")</f>
        <v>02-110279</v>
      </c>
      <c r="B5303" s="8" t="s">
        <v>5262</v>
      </c>
    </row>
    <row r="5304" spans="1:2" x14ac:dyDescent="0.3">
      <c r="A5304" s="5" t="str">
        <f>HYPERLINK("http://www.eatonpowersource.com/products/configure/industrial%20valves/details/02-110334","02-110334")</f>
        <v>02-110334</v>
      </c>
      <c r="B5304" s="6" t="s">
        <v>5263</v>
      </c>
    </row>
    <row r="5305" spans="1:2" x14ac:dyDescent="0.3">
      <c r="A5305" s="7" t="str">
        <f>HYPERLINK("http://www.eatonpowersource.com/products/configure/industrial%20valves/details/02-110345","02-110345")</f>
        <v>02-110345</v>
      </c>
      <c r="B5305" s="8" t="s">
        <v>5264</v>
      </c>
    </row>
    <row r="5306" spans="1:2" x14ac:dyDescent="0.3">
      <c r="A5306" s="5" t="str">
        <f>HYPERLINK("http://www.eatonpowersource.com/products/configure/industrial%20valves/details/02-110346","02-110346")</f>
        <v>02-110346</v>
      </c>
      <c r="B5306" s="6" t="s">
        <v>5265</v>
      </c>
    </row>
    <row r="5307" spans="1:2" x14ac:dyDescent="0.3">
      <c r="A5307" s="7" t="str">
        <f>HYPERLINK("http://www.eatonpowersource.com/products/configure/industrial%20valves/details/02-110556","02-110556")</f>
        <v>02-110556</v>
      </c>
      <c r="B5307" s="8" t="s">
        <v>5266</v>
      </c>
    </row>
    <row r="5308" spans="1:2" x14ac:dyDescent="0.3">
      <c r="A5308" s="5" t="str">
        <f>HYPERLINK("http://www.eatonpowersource.com/products/configure/industrial%20valves/details/02-110557","02-110557")</f>
        <v>02-110557</v>
      </c>
      <c r="B5308" s="6" t="s">
        <v>5267</v>
      </c>
    </row>
    <row r="5309" spans="1:2" x14ac:dyDescent="0.3">
      <c r="A5309" s="7" t="str">
        <f>HYPERLINK("http://www.eatonpowersource.com/products/configure/industrial%20valves/details/02-110558","02-110558")</f>
        <v>02-110558</v>
      </c>
      <c r="B5309" s="8" t="s">
        <v>5268</v>
      </c>
    </row>
    <row r="5310" spans="1:2" x14ac:dyDescent="0.3">
      <c r="A5310" s="5" t="str">
        <f>HYPERLINK("http://www.eatonpowersource.com/products/configure/industrial%20valves/details/02-110646","02-110646")</f>
        <v>02-110646</v>
      </c>
      <c r="B5310" s="6" t="s">
        <v>5269</v>
      </c>
    </row>
    <row r="5311" spans="1:2" x14ac:dyDescent="0.3">
      <c r="A5311" s="7" t="str">
        <f>HYPERLINK("http://www.eatonpowersource.com/products/configure/industrial%20valves/details/02-110654","02-110654")</f>
        <v>02-110654</v>
      </c>
      <c r="B5311" s="8" t="s">
        <v>5270</v>
      </c>
    </row>
    <row r="5312" spans="1:2" x14ac:dyDescent="0.3">
      <c r="A5312" s="5" t="str">
        <f>HYPERLINK("http://www.eatonpowersource.com/products/configure/industrial%20valves/details/02-110655","02-110655")</f>
        <v>02-110655</v>
      </c>
      <c r="B5312" s="6" t="s">
        <v>5271</v>
      </c>
    </row>
    <row r="5313" spans="1:2" x14ac:dyDescent="0.3">
      <c r="A5313" s="7" t="str">
        <f>HYPERLINK("http://www.eatonpowersource.com/products/configure/industrial%20valves/details/02-110842","02-110842")</f>
        <v>02-110842</v>
      </c>
      <c r="B5313" s="8" t="s">
        <v>5272</v>
      </c>
    </row>
    <row r="5314" spans="1:2" x14ac:dyDescent="0.3">
      <c r="A5314" s="5" t="str">
        <f>HYPERLINK("http://www.eatonpowersource.com/products/configure/industrial%20valves/details/02-137912","02-137912")</f>
        <v>02-137912</v>
      </c>
      <c r="B5314" s="6" t="s">
        <v>5273</v>
      </c>
    </row>
    <row r="5315" spans="1:2" x14ac:dyDescent="0.3">
      <c r="A5315" s="7" t="str">
        <f>HYPERLINK("http://www.eatonpowersource.com/products/configure/industrial%20valves/details/02-137926","02-137926")</f>
        <v>02-137926</v>
      </c>
      <c r="B5315" s="8" t="s">
        <v>5274</v>
      </c>
    </row>
    <row r="5316" spans="1:2" x14ac:dyDescent="0.3">
      <c r="A5316" s="5" t="str">
        <f>HYPERLINK("http://www.eatonpowersource.com/products/configure/industrial%20valves/details/02-138034","02-138034")</f>
        <v>02-138034</v>
      </c>
      <c r="B5316" s="6" t="s">
        <v>5275</v>
      </c>
    </row>
    <row r="5317" spans="1:2" x14ac:dyDescent="0.3">
      <c r="A5317" s="7" t="str">
        <f>HYPERLINK("http://www.eatonpowersource.com/products/configure/industrial%20valves/details/02-138121","02-138121")</f>
        <v>02-138121</v>
      </c>
      <c r="B5317" s="8" t="s">
        <v>5276</v>
      </c>
    </row>
    <row r="5318" spans="1:2" x14ac:dyDescent="0.3">
      <c r="A5318" s="5" t="str">
        <f>HYPERLINK("http://www.eatonpowersource.com/products/configure/industrial%20valves/details/02-138203","02-138203")</f>
        <v>02-138203</v>
      </c>
      <c r="B5318" s="6" t="s">
        <v>5277</v>
      </c>
    </row>
    <row r="5319" spans="1:2" x14ac:dyDescent="0.3">
      <c r="A5319" s="7" t="str">
        <f>HYPERLINK("http://www.eatonpowersource.com/products/configure/industrial%20valves/details/02-138206","02-138206")</f>
        <v>02-138206</v>
      </c>
      <c r="B5319" s="8" t="s">
        <v>5278</v>
      </c>
    </row>
    <row r="5320" spans="1:2" x14ac:dyDescent="0.3">
      <c r="A5320" s="5" t="str">
        <f>HYPERLINK("http://www.eatonpowersource.com/products/configure/industrial%20valves/details/02-138880","02-138880")</f>
        <v>02-138880</v>
      </c>
      <c r="B5320" s="6" t="s">
        <v>5279</v>
      </c>
    </row>
    <row r="5321" spans="1:2" x14ac:dyDescent="0.3">
      <c r="A5321" s="7" t="str">
        <f>HYPERLINK("http://www.eatonpowersource.com/products/configure/industrial%20valves/details/02-139074","02-139074")</f>
        <v>02-139074</v>
      </c>
      <c r="B5321" s="8" t="s">
        <v>5280</v>
      </c>
    </row>
    <row r="5322" spans="1:2" x14ac:dyDescent="0.3">
      <c r="A5322" s="5" t="str">
        <f>HYPERLINK("http://www.eatonpowersource.com/products/configure/industrial%20valves/details/02-139092","02-139092")</f>
        <v>02-139092</v>
      </c>
      <c r="B5322" s="6" t="s">
        <v>5281</v>
      </c>
    </row>
    <row r="5323" spans="1:2" x14ac:dyDescent="0.3">
      <c r="A5323" s="7" t="str">
        <f>HYPERLINK("http://www.eatonpowersource.com/products/configure/industrial%20valves/details/02-139094","02-139094")</f>
        <v>02-139094</v>
      </c>
      <c r="B5323" s="8" t="s">
        <v>5282</v>
      </c>
    </row>
    <row r="5324" spans="1:2" x14ac:dyDescent="0.3">
      <c r="A5324" s="5" t="str">
        <f>HYPERLINK("http://www.eatonpowersource.com/products/configure/industrial%20valves/details/02-139420","02-139420")</f>
        <v>02-139420</v>
      </c>
      <c r="B5324" s="6" t="s">
        <v>5283</v>
      </c>
    </row>
    <row r="5325" spans="1:2" x14ac:dyDescent="0.3">
      <c r="A5325" s="7" t="str">
        <f>HYPERLINK("http://www.eatonpowersource.com/products/configure/industrial%20valves/details/02-144938","02-144938")</f>
        <v>02-144938</v>
      </c>
      <c r="B5325" s="8" t="s">
        <v>5284</v>
      </c>
    </row>
    <row r="5326" spans="1:2" x14ac:dyDescent="0.3">
      <c r="A5326" s="5" t="str">
        <f>HYPERLINK("http://www.eatonpowersource.com/products/configure/industrial%20valves/details/02-144940","02-144940")</f>
        <v>02-144940</v>
      </c>
      <c r="B5326" s="6" t="s">
        <v>5285</v>
      </c>
    </row>
    <row r="5327" spans="1:2" x14ac:dyDescent="0.3">
      <c r="A5327" s="7" t="str">
        <f>HYPERLINK("http://www.eatonpowersource.com/products/configure/industrial%20valves/details/02-144943","02-144943")</f>
        <v>02-144943</v>
      </c>
      <c r="B5327" s="8" t="s">
        <v>5286</v>
      </c>
    </row>
    <row r="5328" spans="1:2" x14ac:dyDescent="0.3">
      <c r="A5328" s="5" t="str">
        <f>HYPERLINK("http://www.eatonpowersource.com/products/configure/industrial%20valves/details/02-144957","02-144957")</f>
        <v>02-144957</v>
      </c>
      <c r="B5328" s="6" t="s">
        <v>5287</v>
      </c>
    </row>
    <row r="5329" spans="1:2" x14ac:dyDescent="0.3">
      <c r="A5329" s="7" t="str">
        <f>HYPERLINK("http://www.eatonpowersource.com/products/configure/industrial%20valves/details/02-144958","02-144958")</f>
        <v>02-144958</v>
      </c>
      <c r="B5329" s="8" t="s">
        <v>5288</v>
      </c>
    </row>
    <row r="5330" spans="1:2" x14ac:dyDescent="0.3">
      <c r="A5330" s="5" t="str">
        <f>HYPERLINK("http://www.eatonpowersource.com/products/configure/industrial%20valves/details/02-144961","02-144961")</f>
        <v>02-144961</v>
      </c>
      <c r="B5330" s="6" t="s">
        <v>5289</v>
      </c>
    </row>
    <row r="5331" spans="1:2" x14ac:dyDescent="0.3">
      <c r="A5331" s="7" t="str">
        <f>HYPERLINK("http://www.eatonpowersource.com/products/configure/industrial%20valves/details/02-145162","02-145162")</f>
        <v>02-145162</v>
      </c>
      <c r="B5331" s="8" t="s">
        <v>5290</v>
      </c>
    </row>
    <row r="5332" spans="1:2" x14ac:dyDescent="0.3">
      <c r="A5332" s="5" t="str">
        <f>HYPERLINK("http://www.eatonpowersource.com/products/configure/industrial%20valves/details/02-145705","02-145705")</f>
        <v>02-145705</v>
      </c>
      <c r="B5332" s="6" t="s">
        <v>5291</v>
      </c>
    </row>
    <row r="5333" spans="1:2" x14ac:dyDescent="0.3">
      <c r="A5333" s="7" t="str">
        <f>HYPERLINK("http://www.eatonpowersource.com/products/configure/industrial%20valves/details/02-145966","02-145966")</f>
        <v>02-145966</v>
      </c>
      <c r="B5333" s="8" t="s">
        <v>5292</v>
      </c>
    </row>
    <row r="5334" spans="1:2" x14ac:dyDescent="0.3">
      <c r="A5334" s="5" t="str">
        <f>HYPERLINK("http://www.eatonpowersource.com/products/configure/industrial%20valves/details/02-145967","02-145967")</f>
        <v>02-145967</v>
      </c>
      <c r="B5334" s="6" t="s">
        <v>5293</v>
      </c>
    </row>
    <row r="5335" spans="1:2" x14ac:dyDescent="0.3">
      <c r="A5335" s="7" t="str">
        <f>HYPERLINK("http://www.eatonpowersource.com/products/configure/industrial%20valves/details/02-146111","02-146111")</f>
        <v>02-146111</v>
      </c>
      <c r="B5335" s="8" t="s">
        <v>5294</v>
      </c>
    </row>
    <row r="5336" spans="1:2" x14ac:dyDescent="0.3">
      <c r="A5336" s="5" t="str">
        <f>HYPERLINK("http://www.eatonpowersource.com/products/configure/industrial%20valves/details/02-146193","02-146193")</f>
        <v>02-146193</v>
      </c>
      <c r="B5336" s="6" t="s">
        <v>5295</v>
      </c>
    </row>
    <row r="5337" spans="1:2" x14ac:dyDescent="0.3">
      <c r="A5337" s="7" t="str">
        <f>HYPERLINK("http://www.eatonpowersource.com/products/configure/industrial%20valves/details/02-146440","02-146440")</f>
        <v>02-146440</v>
      </c>
      <c r="B5337" s="8" t="s">
        <v>5296</v>
      </c>
    </row>
    <row r="5338" spans="1:2" x14ac:dyDescent="0.3">
      <c r="A5338" s="5" t="str">
        <f>HYPERLINK("http://www.eatonpowersource.com/products/configure/industrial%20valves/details/02-146642","02-146642")</f>
        <v>02-146642</v>
      </c>
      <c r="B5338" s="6" t="s">
        <v>5297</v>
      </c>
    </row>
    <row r="5339" spans="1:2" x14ac:dyDescent="0.3">
      <c r="A5339" s="7" t="str">
        <f>HYPERLINK("http://www.eatonpowersource.com/products/configure/industrial%20valves/details/02-146643","02-146643")</f>
        <v>02-146643</v>
      </c>
      <c r="B5339" s="8" t="s">
        <v>5298</v>
      </c>
    </row>
    <row r="5340" spans="1:2" x14ac:dyDescent="0.3">
      <c r="A5340" s="5" t="str">
        <f>HYPERLINK("http://www.eatonpowersource.com/products/configure/industrial%20valves/details/02-146654","02-146654")</f>
        <v>02-146654</v>
      </c>
      <c r="B5340" s="6" t="s">
        <v>5299</v>
      </c>
    </row>
    <row r="5341" spans="1:2" x14ac:dyDescent="0.3">
      <c r="A5341" s="7" t="str">
        <f>HYPERLINK("http://www.eatonpowersource.com/products/configure/industrial%20valves/details/02-146726","02-146726")</f>
        <v>02-146726</v>
      </c>
      <c r="B5341" s="8" t="s">
        <v>5300</v>
      </c>
    </row>
    <row r="5342" spans="1:2" x14ac:dyDescent="0.3">
      <c r="A5342" s="5" t="str">
        <f>HYPERLINK("http://www.eatonpowersource.com/products/configure/industrial%20valves/details/02-146909","02-146909")</f>
        <v>02-146909</v>
      </c>
      <c r="B5342" s="6" t="s">
        <v>5301</v>
      </c>
    </row>
    <row r="5343" spans="1:2" x14ac:dyDescent="0.3">
      <c r="A5343" s="7" t="str">
        <f>HYPERLINK("http://www.eatonpowersource.com/products/configure/industrial%20valves/details/02-146947","02-146947")</f>
        <v>02-146947</v>
      </c>
      <c r="B5343" s="8" t="s">
        <v>5302</v>
      </c>
    </row>
    <row r="5344" spans="1:2" x14ac:dyDescent="0.3">
      <c r="A5344" s="5" t="str">
        <f>HYPERLINK("http://www.eatonpowersource.com/products/configure/industrial%20valves/details/02-147018","02-147018")</f>
        <v>02-147018</v>
      </c>
      <c r="B5344" s="6" t="s">
        <v>5303</v>
      </c>
    </row>
    <row r="5345" spans="1:2" x14ac:dyDescent="0.3">
      <c r="A5345" s="7" t="str">
        <f>HYPERLINK("http://www.eatonpowersource.com/products/configure/industrial%20valves/details/02-147019","02-147019")</f>
        <v>02-147019</v>
      </c>
      <c r="B5345" s="8" t="s">
        <v>5304</v>
      </c>
    </row>
    <row r="5346" spans="1:2" x14ac:dyDescent="0.3">
      <c r="A5346" s="5" t="str">
        <f>HYPERLINK("http://www.eatonpowersource.com/products/configure/industrial%20valves/details/02-147319","02-147319")</f>
        <v>02-147319</v>
      </c>
      <c r="B5346" s="6" t="s">
        <v>5305</v>
      </c>
    </row>
    <row r="5347" spans="1:2" x14ac:dyDescent="0.3">
      <c r="A5347" s="7" t="str">
        <f>HYPERLINK("http://www.eatonpowersource.com/products/configure/industrial%20valves/details/02-147358","02-147358")</f>
        <v>02-147358</v>
      </c>
      <c r="B5347" s="8" t="s">
        <v>5306</v>
      </c>
    </row>
    <row r="5348" spans="1:2" x14ac:dyDescent="0.3">
      <c r="A5348" s="5" t="str">
        <f>HYPERLINK("http://www.eatonpowersource.com/products/configure/industrial%20valves/details/02-147364","02-147364")</f>
        <v>02-147364</v>
      </c>
      <c r="B5348" s="6" t="s">
        <v>5307</v>
      </c>
    </row>
    <row r="5349" spans="1:2" x14ac:dyDescent="0.3">
      <c r="A5349" s="7" t="str">
        <f>HYPERLINK("http://www.eatonpowersource.com/products/configure/industrial%20valves/details/02-147657","02-147657")</f>
        <v>02-147657</v>
      </c>
      <c r="B5349" s="8" t="s">
        <v>5308</v>
      </c>
    </row>
    <row r="5350" spans="1:2" x14ac:dyDescent="0.3">
      <c r="A5350" s="5" t="str">
        <f>HYPERLINK("http://www.eatonpowersource.com/products/configure/industrial%20valves/details/02-147658","02-147658")</f>
        <v>02-147658</v>
      </c>
      <c r="B5350" s="6" t="s">
        <v>5309</v>
      </c>
    </row>
    <row r="5351" spans="1:2" x14ac:dyDescent="0.3">
      <c r="A5351" s="7" t="str">
        <f>HYPERLINK("http://www.eatonpowersource.com/products/configure/industrial%20valves/details/02-149428","02-149428")</f>
        <v>02-149428</v>
      </c>
      <c r="B5351" s="8" t="s">
        <v>5310</v>
      </c>
    </row>
    <row r="5352" spans="1:2" x14ac:dyDescent="0.3">
      <c r="A5352" s="5" t="str">
        <f>HYPERLINK("http://www.eatonpowersource.com/products/configure/industrial%20valves/details/02-155609","02-155609")</f>
        <v>02-155609</v>
      </c>
      <c r="B5352" s="6" t="s">
        <v>5311</v>
      </c>
    </row>
    <row r="5353" spans="1:2" x14ac:dyDescent="0.3">
      <c r="A5353" s="7" t="str">
        <f>HYPERLINK("http://www.eatonpowersource.com/products/configure/industrial%20valves/details/02-156239","02-156239")</f>
        <v>02-156239</v>
      </c>
      <c r="B5353" s="8" t="s">
        <v>5312</v>
      </c>
    </row>
    <row r="5354" spans="1:2" x14ac:dyDescent="0.3">
      <c r="A5354" s="5" t="str">
        <f>HYPERLINK("http://www.eatonpowersource.com/products/configure/industrial%20valves/details/02-156267","02-156267")</f>
        <v>02-156267</v>
      </c>
      <c r="B5354" s="6" t="s">
        <v>5313</v>
      </c>
    </row>
    <row r="5355" spans="1:2" x14ac:dyDescent="0.3">
      <c r="A5355" s="7" t="str">
        <f>HYPERLINK("http://www.eatonpowersource.com/products/configure/industrial%20valves/details/02-156574","02-156574")</f>
        <v>02-156574</v>
      </c>
      <c r="B5355" s="8" t="s">
        <v>5314</v>
      </c>
    </row>
    <row r="5356" spans="1:2" x14ac:dyDescent="0.3">
      <c r="A5356" s="5" t="str">
        <f>HYPERLINK("http://www.eatonpowersource.com/products/configure/industrial%20valves/details/02-156637","02-156637")</f>
        <v>02-156637</v>
      </c>
      <c r="B5356" s="6" t="s">
        <v>5315</v>
      </c>
    </row>
    <row r="5357" spans="1:2" x14ac:dyDescent="0.3">
      <c r="A5357" s="7" t="str">
        <f>HYPERLINK("http://www.eatonpowersource.com/products/configure/industrial%20valves/details/02-156641","02-156641")</f>
        <v>02-156641</v>
      </c>
      <c r="B5357" s="8" t="s">
        <v>5316</v>
      </c>
    </row>
    <row r="5358" spans="1:2" x14ac:dyDescent="0.3">
      <c r="A5358" s="5" t="str">
        <f>HYPERLINK("http://www.eatonpowersource.com/products/configure/industrial%20valves/details/02-156671","02-156671")</f>
        <v>02-156671</v>
      </c>
      <c r="B5358" s="6" t="s">
        <v>5317</v>
      </c>
    </row>
    <row r="5359" spans="1:2" x14ac:dyDescent="0.3">
      <c r="A5359" s="7" t="str">
        <f>HYPERLINK("http://www.eatonpowersource.com/products/configure/industrial%20valves/details/02-156740","02-156740")</f>
        <v>02-156740</v>
      </c>
      <c r="B5359" s="8" t="s">
        <v>5318</v>
      </c>
    </row>
    <row r="5360" spans="1:2" x14ac:dyDescent="0.3">
      <c r="A5360" s="5" t="str">
        <f>HYPERLINK("http://www.eatonpowersource.com/products/configure/industrial%20valves/details/02-156890","02-156890")</f>
        <v>02-156890</v>
      </c>
      <c r="B5360" s="6" t="s">
        <v>5319</v>
      </c>
    </row>
    <row r="5361" spans="1:2" x14ac:dyDescent="0.3">
      <c r="A5361" s="7" t="str">
        <f>HYPERLINK("http://www.eatonpowersource.com/products/configure/industrial%20valves/details/02-156981","02-156981")</f>
        <v>02-156981</v>
      </c>
      <c r="B5361" s="8" t="s">
        <v>5320</v>
      </c>
    </row>
    <row r="5362" spans="1:2" x14ac:dyDescent="0.3">
      <c r="A5362" s="5" t="str">
        <f>HYPERLINK("http://www.eatonpowersource.com/products/configure/industrial%20valves/details/02-157010","02-157010")</f>
        <v>02-157010</v>
      </c>
      <c r="B5362" s="6" t="s">
        <v>5321</v>
      </c>
    </row>
    <row r="5363" spans="1:2" x14ac:dyDescent="0.3">
      <c r="A5363" s="7" t="str">
        <f>HYPERLINK("http://www.eatonpowersource.com/products/configure/industrial%20valves/details/02-157011","02-157011")</f>
        <v>02-157011</v>
      </c>
      <c r="B5363" s="8" t="s">
        <v>5322</v>
      </c>
    </row>
    <row r="5364" spans="1:2" x14ac:dyDescent="0.3">
      <c r="A5364" s="5" t="str">
        <f>HYPERLINK("http://www.eatonpowersource.com/products/configure/industrial%20valves/details/02-157012","02-157012")</f>
        <v>02-157012</v>
      </c>
      <c r="B5364" s="6" t="s">
        <v>5323</v>
      </c>
    </row>
    <row r="5365" spans="1:2" x14ac:dyDescent="0.3">
      <c r="A5365" s="7" t="str">
        <f>HYPERLINK("http://www.eatonpowersource.com/products/configure/industrial%20valves/details/02-157039","02-157039")</f>
        <v>02-157039</v>
      </c>
      <c r="B5365" s="8" t="s">
        <v>5324</v>
      </c>
    </row>
    <row r="5366" spans="1:2" x14ac:dyDescent="0.3">
      <c r="A5366" s="5" t="str">
        <f>HYPERLINK("http://www.eatonpowersource.com/products/configure/industrial%20valves/details/02-157040","02-157040")</f>
        <v>02-157040</v>
      </c>
      <c r="B5366" s="6" t="s">
        <v>5325</v>
      </c>
    </row>
    <row r="5367" spans="1:2" x14ac:dyDescent="0.3">
      <c r="A5367" s="7" t="str">
        <f>HYPERLINK("http://www.eatonpowersource.com/products/configure/industrial%20valves/details/02-157136","02-157136")</f>
        <v>02-157136</v>
      </c>
      <c r="B5367" s="8" t="s">
        <v>5326</v>
      </c>
    </row>
    <row r="5368" spans="1:2" x14ac:dyDescent="0.3">
      <c r="A5368" s="5" t="str">
        <f>HYPERLINK("http://www.eatonpowersource.com/products/configure/industrial%20valves/details/02-157235","02-157235")</f>
        <v>02-157235</v>
      </c>
      <c r="B5368" s="6" t="s">
        <v>5327</v>
      </c>
    </row>
    <row r="5369" spans="1:2" x14ac:dyDescent="0.3">
      <c r="A5369" s="7" t="str">
        <f>HYPERLINK("http://www.eatonpowersource.com/products/configure/industrial%20valves/details/02-157328","02-157328")</f>
        <v>02-157328</v>
      </c>
      <c r="B5369" s="8" t="s">
        <v>5328</v>
      </c>
    </row>
    <row r="5370" spans="1:2" x14ac:dyDescent="0.3">
      <c r="A5370" s="5" t="str">
        <f>HYPERLINK("http://www.eatonpowersource.com/products/configure/industrial%20valves/details/02-157539","02-157539")</f>
        <v>02-157539</v>
      </c>
      <c r="B5370" s="6" t="s">
        <v>5329</v>
      </c>
    </row>
    <row r="5371" spans="1:2" x14ac:dyDescent="0.3">
      <c r="A5371" s="7" t="str">
        <f>HYPERLINK("http://www.eatonpowersource.com/products/configure/industrial%20valves/details/02-157610","02-157610")</f>
        <v>02-157610</v>
      </c>
      <c r="B5371" s="8" t="s">
        <v>5330</v>
      </c>
    </row>
    <row r="5372" spans="1:2" x14ac:dyDescent="0.3">
      <c r="A5372" s="5" t="str">
        <f>HYPERLINK("http://www.eatonpowersource.com/products/configure/industrial%20valves/details/02-157761","02-157761")</f>
        <v>02-157761</v>
      </c>
      <c r="B5372" s="6" t="s">
        <v>5331</v>
      </c>
    </row>
    <row r="5373" spans="1:2" x14ac:dyDescent="0.3">
      <c r="A5373" s="7" t="str">
        <f>HYPERLINK("http://www.eatonpowersource.com/products/configure/industrial%20valves/details/02-301682","02-301682")</f>
        <v>02-301682</v>
      </c>
      <c r="B5373" s="8" t="s">
        <v>5332</v>
      </c>
    </row>
    <row r="5374" spans="1:2" x14ac:dyDescent="0.3">
      <c r="A5374" s="5" t="str">
        <f>HYPERLINK("http://www.eatonpowersource.com/products/configure/industrial%20valves/details/02-309688","02-309688")</f>
        <v>02-309688</v>
      </c>
      <c r="B5374" s="6" t="s">
        <v>5333</v>
      </c>
    </row>
    <row r="5375" spans="1:2" x14ac:dyDescent="0.3">
      <c r="A5375" s="7" t="str">
        <f>HYPERLINK("http://www.eatonpowersource.com/products/configure/industrial%20valves/details/02-309716","02-309716")</f>
        <v>02-309716</v>
      </c>
      <c r="B5375" s="8" t="s">
        <v>5334</v>
      </c>
    </row>
    <row r="5376" spans="1:2" x14ac:dyDescent="0.3">
      <c r="A5376" s="5" t="str">
        <f>HYPERLINK("http://www.eatonpowersource.com/products/configure/industrial%20valves/details/02-310302","02-310302")</f>
        <v>02-310302</v>
      </c>
      <c r="B5376" s="6" t="s">
        <v>5335</v>
      </c>
    </row>
    <row r="5377" spans="1:2" x14ac:dyDescent="0.3">
      <c r="A5377" s="7" t="str">
        <f>HYPERLINK("http://www.eatonpowersource.com/products/configure/industrial%20valves/details/02-310552","02-310552")</f>
        <v>02-310552</v>
      </c>
      <c r="B5377" s="8" t="s">
        <v>5336</v>
      </c>
    </row>
    <row r="5378" spans="1:2" x14ac:dyDescent="0.3">
      <c r="A5378" s="5" t="str">
        <f>HYPERLINK("http://www.eatonpowersource.com/products/configure/industrial%20valves/details/02-310553","02-310553")</f>
        <v>02-310553</v>
      </c>
      <c r="B5378" s="6" t="s">
        <v>5337</v>
      </c>
    </row>
    <row r="5379" spans="1:2" x14ac:dyDescent="0.3">
      <c r="A5379" s="7" t="str">
        <f>HYPERLINK("http://www.eatonpowersource.com/products/configure/industrial%20valves/details/02-310603","02-310603")</f>
        <v>02-310603</v>
      </c>
      <c r="B5379" s="8" t="s">
        <v>5338</v>
      </c>
    </row>
    <row r="5380" spans="1:2" x14ac:dyDescent="0.3">
      <c r="A5380" s="5" t="str">
        <f>HYPERLINK("http://www.eatonpowersource.com/products/configure/industrial%20valves/details/02-310604","02-310604")</f>
        <v>02-310604</v>
      </c>
      <c r="B5380" s="6" t="s">
        <v>5339</v>
      </c>
    </row>
    <row r="5381" spans="1:2" x14ac:dyDescent="0.3">
      <c r="A5381" s="7" t="str">
        <f>HYPERLINK("http://www.eatonpowersource.com/products/configure/industrial%20valves/details/02-310718","02-310718")</f>
        <v>02-310718</v>
      </c>
      <c r="B5381" s="8" t="s">
        <v>5340</v>
      </c>
    </row>
    <row r="5382" spans="1:2" x14ac:dyDescent="0.3">
      <c r="A5382" s="5" t="str">
        <f>HYPERLINK("http://www.eatonpowersource.com/products/configure/industrial%20valves/details/02-310789","02-310789")</f>
        <v>02-310789</v>
      </c>
      <c r="B5382" s="6" t="s">
        <v>5341</v>
      </c>
    </row>
    <row r="5383" spans="1:2" x14ac:dyDescent="0.3">
      <c r="A5383" s="7" t="str">
        <f>HYPERLINK("http://www.eatonpowersource.com/products/configure/industrial%20valves/details/02-311053","02-311053")</f>
        <v>02-311053</v>
      </c>
      <c r="B5383" s="8" t="s">
        <v>5342</v>
      </c>
    </row>
    <row r="5384" spans="1:2" x14ac:dyDescent="0.3">
      <c r="A5384" s="5" t="str">
        <f>HYPERLINK("http://www.eatonpowersource.com/products/configure/industrial%20valves/details/02-311150","02-311150")</f>
        <v>02-311150</v>
      </c>
      <c r="B5384" s="6" t="s">
        <v>5343</v>
      </c>
    </row>
    <row r="5385" spans="1:2" x14ac:dyDescent="0.3">
      <c r="A5385" s="7" t="str">
        <f>HYPERLINK("http://www.eatonpowersource.com/products/configure/industrial%20valves/details/02-311262","02-311262")</f>
        <v>02-311262</v>
      </c>
      <c r="B5385" s="8" t="s">
        <v>5344</v>
      </c>
    </row>
    <row r="5386" spans="1:2" x14ac:dyDescent="0.3">
      <c r="A5386" s="5" t="str">
        <f>HYPERLINK("http://www.eatonpowersource.com/products/configure/industrial%20valves/details/02-311517","02-311517")</f>
        <v>02-311517</v>
      </c>
      <c r="B5386" s="6" t="s">
        <v>5345</v>
      </c>
    </row>
    <row r="5387" spans="1:2" x14ac:dyDescent="0.3">
      <c r="A5387" s="7" t="str">
        <f>HYPERLINK("http://www.eatonpowersource.com/products/configure/industrial%20valves/details/02-311543","02-311543")</f>
        <v>02-311543</v>
      </c>
      <c r="B5387" s="8" t="s">
        <v>5346</v>
      </c>
    </row>
    <row r="5388" spans="1:2" x14ac:dyDescent="0.3">
      <c r="A5388" s="5" t="str">
        <f>HYPERLINK("http://www.eatonpowersource.com/products/configure/industrial%20valves/details/02-311556","02-311556")</f>
        <v>02-311556</v>
      </c>
      <c r="B5388" s="6" t="s">
        <v>5347</v>
      </c>
    </row>
    <row r="5389" spans="1:2" x14ac:dyDescent="0.3">
      <c r="A5389" s="7" t="str">
        <f>HYPERLINK("http://www.eatonpowersource.com/products/configure/industrial%20valves/details/02-311600","02-311600")</f>
        <v>02-311600</v>
      </c>
      <c r="B5389" s="8" t="s">
        <v>5348</v>
      </c>
    </row>
    <row r="5390" spans="1:2" x14ac:dyDescent="0.3">
      <c r="A5390" s="5" t="str">
        <f>HYPERLINK("http://www.eatonpowersource.com/products/configure/industrial%20valves/details/02-311601","02-311601")</f>
        <v>02-311601</v>
      </c>
      <c r="B5390" s="6" t="s">
        <v>5349</v>
      </c>
    </row>
    <row r="5391" spans="1:2" x14ac:dyDescent="0.3">
      <c r="A5391" s="7" t="str">
        <f>HYPERLINK("http://www.eatonpowersource.com/products/configure/industrial%20valves/details/02-311649","02-311649")</f>
        <v>02-311649</v>
      </c>
      <c r="B5391" s="8" t="s">
        <v>5350</v>
      </c>
    </row>
    <row r="5392" spans="1:2" x14ac:dyDescent="0.3">
      <c r="A5392" s="5" t="str">
        <f>HYPERLINK("http://www.eatonpowersource.com/products/configure/industrial%20valves/details/02-311665","02-311665")</f>
        <v>02-311665</v>
      </c>
      <c r="B5392" s="6" t="s">
        <v>5351</v>
      </c>
    </row>
    <row r="5393" spans="1:2" x14ac:dyDescent="0.3">
      <c r="A5393" s="7" t="str">
        <f>HYPERLINK("http://www.eatonpowersource.com/products/configure/industrial%20valves/details/02-311666","02-311666")</f>
        <v>02-311666</v>
      </c>
      <c r="B5393" s="8" t="s">
        <v>5352</v>
      </c>
    </row>
    <row r="5394" spans="1:2" x14ac:dyDescent="0.3">
      <c r="A5394" s="5" t="str">
        <f>HYPERLINK("http://www.eatonpowersource.com/products/configure/industrial%20valves/details/02-311691","02-311691")</f>
        <v>02-311691</v>
      </c>
      <c r="B5394" s="6" t="s">
        <v>5353</v>
      </c>
    </row>
    <row r="5395" spans="1:2" x14ac:dyDescent="0.3">
      <c r="A5395" s="7" t="str">
        <f>HYPERLINK("http://www.eatonpowersource.com/products/configure/industrial%20valves/details/02-311731","02-311731")</f>
        <v>02-311731</v>
      </c>
      <c r="B5395" s="8" t="s">
        <v>5354</v>
      </c>
    </row>
    <row r="5396" spans="1:2" x14ac:dyDescent="0.3">
      <c r="A5396" s="5" t="str">
        <f>HYPERLINK("http://www.eatonpowersource.com/products/configure/industrial%20valves/details/02-311838","02-311838")</f>
        <v>02-311838</v>
      </c>
      <c r="B5396" s="6" t="s">
        <v>5355</v>
      </c>
    </row>
    <row r="5397" spans="1:2" x14ac:dyDescent="0.3">
      <c r="A5397" s="7" t="str">
        <f>HYPERLINK("http://www.eatonpowersource.com/products/configure/industrial%20valves/details/02-311839","02-311839")</f>
        <v>02-311839</v>
      </c>
      <c r="B5397" s="8" t="s">
        <v>5356</v>
      </c>
    </row>
    <row r="5398" spans="1:2" x14ac:dyDescent="0.3">
      <c r="A5398" s="5" t="str">
        <f>HYPERLINK("http://www.eatonpowersource.com/products/configure/industrial%20valves/details/02-311840","02-311840")</f>
        <v>02-311840</v>
      </c>
      <c r="B5398" s="6" t="s">
        <v>5357</v>
      </c>
    </row>
    <row r="5399" spans="1:2" x14ac:dyDescent="0.3">
      <c r="A5399" s="7" t="str">
        <f>HYPERLINK("http://www.eatonpowersource.com/products/configure/industrial%20valves/details/02-311911","02-311911")</f>
        <v>02-311911</v>
      </c>
      <c r="B5399" s="8" t="s">
        <v>5358</v>
      </c>
    </row>
    <row r="5400" spans="1:2" x14ac:dyDescent="0.3">
      <c r="A5400" s="5" t="str">
        <f>HYPERLINK("http://www.eatonpowersource.com/products/configure/industrial%20valves/details/02-312026","02-312026")</f>
        <v>02-312026</v>
      </c>
      <c r="B5400" s="6" t="s">
        <v>5359</v>
      </c>
    </row>
    <row r="5401" spans="1:2" x14ac:dyDescent="0.3">
      <c r="A5401" s="7" t="str">
        <f>HYPERLINK("http://www.eatonpowersource.com/products/configure/industrial%20valves/details/02-312221","02-312221")</f>
        <v>02-312221</v>
      </c>
      <c r="B5401" s="8" t="s">
        <v>5360</v>
      </c>
    </row>
    <row r="5402" spans="1:2" x14ac:dyDescent="0.3">
      <c r="A5402" s="5" t="str">
        <f>HYPERLINK("http://www.eatonpowersource.com/products/configure/industrial%20valves/details/02-312350","02-312350")</f>
        <v>02-312350</v>
      </c>
      <c r="B5402" s="6" t="s">
        <v>5361</v>
      </c>
    </row>
    <row r="5403" spans="1:2" x14ac:dyDescent="0.3">
      <c r="A5403" s="7" t="str">
        <f>HYPERLINK("http://www.eatonpowersource.com/products/configure/industrial%20valves/details/02-318262","02-318262")</f>
        <v>02-318262</v>
      </c>
      <c r="B5403" s="8" t="s">
        <v>5362</v>
      </c>
    </row>
    <row r="5404" spans="1:2" x14ac:dyDescent="0.3">
      <c r="A5404" s="5" t="str">
        <f>HYPERLINK("http://www.eatonpowersource.com/products/configure/industrial%20valves/details/02-318365","02-318365")</f>
        <v>02-318365</v>
      </c>
      <c r="B5404" s="6" t="s">
        <v>5363</v>
      </c>
    </row>
    <row r="5405" spans="1:2" x14ac:dyDescent="0.3">
      <c r="A5405" s="7" t="str">
        <f>HYPERLINK("http://www.eatonpowersource.com/products/configure/industrial%20valves/details/02-318511","02-318511")</f>
        <v>02-318511</v>
      </c>
      <c r="B5405" s="8" t="s">
        <v>5364</v>
      </c>
    </row>
    <row r="5406" spans="1:2" x14ac:dyDescent="0.3">
      <c r="A5406" s="5" t="str">
        <f>HYPERLINK("http://www.eatonpowersource.com/products/configure/industrial%20valves/details/02-318615","02-318615")</f>
        <v>02-318615</v>
      </c>
      <c r="B5406" s="6" t="s">
        <v>5365</v>
      </c>
    </row>
    <row r="5407" spans="1:2" x14ac:dyDescent="0.3">
      <c r="A5407" s="7" t="str">
        <f>HYPERLINK("http://www.eatonpowersource.com/products/configure/industrial%20valves/details/02-319162","02-319162")</f>
        <v>02-319162</v>
      </c>
      <c r="B5407" s="8" t="s">
        <v>5366</v>
      </c>
    </row>
    <row r="5408" spans="1:2" x14ac:dyDescent="0.3">
      <c r="A5408" s="5" t="str">
        <f>HYPERLINK("http://www.eatonpowersource.com/products/configure/industrial%20valves/details/02-319302","02-319302")</f>
        <v>02-319302</v>
      </c>
      <c r="B5408" s="6" t="s">
        <v>5367</v>
      </c>
    </row>
    <row r="5409" spans="1:2" x14ac:dyDescent="0.3">
      <c r="A5409" s="7" t="str">
        <f>HYPERLINK("http://www.eatonpowersource.com/products/configure/industrial%20valves/details/02-319414","02-319414")</f>
        <v>02-319414</v>
      </c>
      <c r="B5409" s="8" t="s">
        <v>5368</v>
      </c>
    </row>
    <row r="5410" spans="1:2" x14ac:dyDescent="0.3">
      <c r="A5410" s="5" t="str">
        <f>HYPERLINK("http://www.eatonpowersource.com/products/configure/industrial%20valves/details/02-319492","02-319492")</f>
        <v>02-319492</v>
      </c>
      <c r="B5410" s="6" t="s">
        <v>5369</v>
      </c>
    </row>
    <row r="5411" spans="1:2" x14ac:dyDescent="0.3">
      <c r="A5411" s="7" t="str">
        <f>HYPERLINK("http://www.eatonpowersource.com/products/configure/industrial%20valves/details/02-323007","02-323007")</f>
        <v>02-323007</v>
      </c>
      <c r="B5411" s="8" t="s">
        <v>5370</v>
      </c>
    </row>
    <row r="5412" spans="1:2" x14ac:dyDescent="0.3">
      <c r="A5412" s="5" t="str">
        <f>HYPERLINK("http://www.eatonpowersource.com/products/configure/industrial%20valves/details/02-323136","02-323136")</f>
        <v>02-323136</v>
      </c>
      <c r="B5412" s="6" t="s">
        <v>5371</v>
      </c>
    </row>
    <row r="5413" spans="1:2" x14ac:dyDescent="0.3">
      <c r="A5413" s="7" t="str">
        <f>HYPERLINK("http://www.eatonpowersource.com/products/configure/industrial%20valves/details/02-323219","02-323219")</f>
        <v>02-323219</v>
      </c>
      <c r="B5413" s="8" t="s">
        <v>5372</v>
      </c>
    </row>
    <row r="5414" spans="1:2" x14ac:dyDescent="0.3">
      <c r="A5414" s="5" t="str">
        <f>HYPERLINK("http://www.eatonpowersource.com/products/configure/industrial%20valves/details/02-323623","02-323623")</f>
        <v>02-323623</v>
      </c>
      <c r="B5414" s="6" t="s">
        <v>5373</v>
      </c>
    </row>
    <row r="5415" spans="1:2" x14ac:dyDescent="0.3">
      <c r="A5415" s="7" t="str">
        <f>HYPERLINK("http://www.eatonpowersource.com/products/configure/industrial%20valves/details/02-323794","02-323794")</f>
        <v>02-323794</v>
      </c>
      <c r="B5415" s="8" t="s">
        <v>5374</v>
      </c>
    </row>
    <row r="5416" spans="1:2" x14ac:dyDescent="0.3">
      <c r="A5416" s="5" t="str">
        <f>HYPERLINK("http://www.eatonpowersource.com/products/configure/industrial%20valves/details/02-332011","02-332011")</f>
        <v>02-332011</v>
      </c>
      <c r="B5416" s="6" t="s">
        <v>5375</v>
      </c>
    </row>
    <row r="5417" spans="1:2" x14ac:dyDescent="0.3">
      <c r="A5417" s="7" t="str">
        <f>HYPERLINK("http://www.eatonpowersource.com/products/configure/industrial%20valves/details/02-333103","02-333103")</f>
        <v>02-333103</v>
      </c>
      <c r="B5417" s="8" t="s">
        <v>5376</v>
      </c>
    </row>
    <row r="5418" spans="1:2" x14ac:dyDescent="0.3">
      <c r="A5418" s="5" t="str">
        <f>HYPERLINK("http://www.eatonpowersource.com/products/configure/industrial%20valves/details/02-333163","02-333163")</f>
        <v>02-333163</v>
      </c>
      <c r="B5418" s="6" t="s">
        <v>5377</v>
      </c>
    </row>
    <row r="5419" spans="1:2" x14ac:dyDescent="0.3">
      <c r="A5419" s="7" t="str">
        <f>HYPERLINK("http://www.eatonpowersource.com/products/configure/industrial%20valves/details/02-333308","02-333308")</f>
        <v>02-333308</v>
      </c>
      <c r="B5419" s="8" t="s">
        <v>5378</v>
      </c>
    </row>
    <row r="5420" spans="1:2" x14ac:dyDescent="0.3">
      <c r="A5420" s="5" t="str">
        <f>HYPERLINK("http://www.eatonpowersource.com/products/configure/industrial%20valves/details/02-333736","02-333736")</f>
        <v>02-333736</v>
      </c>
      <c r="B5420" s="6" t="s">
        <v>5379</v>
      </c>
    </row>
    <row r="5421" spans="1:2" x14ac:dyDescent="0.3">
      <c r="A5421" s="7" t="str">
        <f>HYPERLINK("http://www.eatonpowersource.com/products/configure/industrial%20valves/details/02-333893","02-333893")</f>
        <v>02-333893</v>
      </c>
      <c r="B5421" s="8" t="s">
        <v>5380</v>
      </c>
    </row>
    <row r="5422" spans="1:2" x14ac:dyDescent="0.3">
      <c r="A5422" s="5" t="str">
        <f>HYPERLINK("http://www.eatonpowersource.com/products/configure/industrial%20valves/details/02-338980","02-338980")</f>
        <v>02-338980</v>
      </c>
      <c r="B5422" s="6" t="s">
        <v>5381</v>
      </c>
    </row>
    <row r="5423" spans="1:2" x14ac:dyDescent="0.3">
      <c r="A5423" s="7" t="str">
        <f>HYPERLINK("http://www.eatonpowersource.com/products/configure/industrial%20valves/details/02-339814","02-339814")</f>
        <v>02-339814</v>
      </c>
      <c r="B5423" s="8" t="s">
        <v>5382</v>
      </c>
    </row>
    <row r="5424" spans="1:2" x14ac:dyDescent="0.3">
      <c r="A5424" s="5" t="str">
        <f>HYPERLINK("http://www.eatonpowersource.com/products/configure/industrial%20valves/details/02-339844","02-339844")</f>
        <v>02-339844</v>
      </c>
      <c r="B5424" s="6" t="s">
        <v>5383</v>
      </c>
    </row>
    <row r="5425" spans="1:2" x14ac:dyDescent="0.3">
      <c r="A5425" s="7" t="str">
        <f>HYPERLINK("http://www.eatonpowersource.com/products/configure/industrial%20valves/details/02-344308","02-344308")</f>
        <v>02-344308</v>
      </c>
      <c r="B5425" s="8" t="s">
        <v>5384</v>
      </c>
    </row>
    <row r="5426" spans="1:2" x14ac:dyDescent="0.3">
      <c r="A5426" s="5" t="str">
        <f>HYPERLINK("http://www.eatonpowersource.com/products/configure/industrial%20valves/details/02-350127","02-350127")</f>
        <v>02-350127</v>
      </c>
      <c r="B5426" s="6" t="s">
        <v>5385</v>
      </c>
    </row>
    <row r="5427" spans="1:2" x14ac:dyDescent="0.3">
      <c r="A5427" s="7" t="str">
        <f>HYPERLINK("http://www.eatonpowersource.com/products/configure/industrial%20valves/details/02-350263","02-350263")</f>
        <v>02-350263</v>
      </c>
      <c r="B5427" s="8" t="s">
        <v>5386</v>
      </c>
    </row>
    <row r="5428" spans="1:2" x14ac:dyDescent="0.3">
      <c r="A5428" s="5" t="str">
        <f>HYPERLINK("http://www.eatonpowersource.com/products/configure/industrial%20valves/details/02-350304","02-350304")</f>
        <v>02-350304</v>
      </c>
      <c r="B5428" s="6" t="s">
        <v>5387</v>
      </c>
    </row>
    <row r="5429" spans="1:2" x14ac:dyDescent="0.3">
      <c r="A5429" s="7" t="str">
        <f>HYPERLINK("http://www.eatonpowersource.com/products/configure/industrial%20valves/details/02-350453","02-350453")</f>
        <v>02-350453</v>
      </c>
      <c r="B5429" s="8" t="s">
        <v>5388</v>
      </c>
    </row>
    <row r="5430" spans="1:2" x14ac:dyDescent="0.3">
      <c r="A5430" s="5" t="str">
        <f>HYPERLINK("http://www.eatonpowersource.com/products/configure/industrial%20valves/details/02-350534","02-350534")</f>
        <v>02-350534</v>
      </c>
      <c r="B5430" s="6" t="s">
        <v>5389</v>
      </c>
    </row>
    <row r="5431" spans="1:2" x14ac:dyDescent="0.3">
      <c r="A5431" s="7" t="str">
        <f>HYPERLINK("http://www.eatonpowersource.com/products/configure/industrial%20valves/details/02-351002","02-351002")</f>
        <v>02-351002</v>
      </c>
      <c r="B5431" s="8" t="s">
        <v>5390</v>
      </c>
    </row>
    <row r="5432" spans="1:2" x14ac:dyDescent="0.3">
      <c r="A5432" s="5" t="str">
        <f>HYPERLINK("http://www.eatonpowersource.com/products/configure/industrial%20valves/details/02-351085","02-351085")</f>
        <v>02-351085</v>
      </c>
      <c r="B5432" s="6" t="s">
        <v>5391</v>
      </c>
    </row>
    <row r="5433" spans="1:2" x14ac:dyDescent="0.3">
      <c r="A5433" s="7" t="str">
        <f>HYPERLINK("http://www.eatonpowersource.com/products/configure/industrial%20valves/details/02-351086","02-351086")</f>
        <v>02-351086</v>
      </c>
      <c r="B5433" s="8" t="s">
        <v>5392</v>
      </c>
    </row>
    <row r="5434" spans="1:2" x14ac:dyDescent="0.3">
      <c r="A5434" s="5" t="str">
        <f>HYPERLINK("http://www.eatonpowersource.com/products/configure/industrial%20valves/details/02-351441","02-351441")</f>
        <v>02-351441</v>
      </c>
      <c r="B5434" s="6" t="s">
        <v>5393</v>
      </c>
    </row>
    <row r="5435" spans="1:2" x14ac:dyDescent="0.3">
      <c r="A5435" s="7" t="str">
        <f>HYPERLINK("http://www.eatonpowersource.com/products/configure/industrial%20valves/details/02-351442","02-351442")</f>
        <v>02-351442</v>
      </c>
      <c r="B5435" s="8" t="s">
        <v>5394</v>
      </c>
    </row>
    <row r="5436" spans="1:2" x14ac:dyDescent="0.3">
      <c r="A5436" s="5" t="str">
        <f>HYPERLINK("http://www.eatonpowersource.com/products/configure/industrial%20valves/details/02-351476","02-351476")</f>
        <v>02-351476</v>
      </c>
      <c r="B5436" s="6" t="s">
        <v>5395</v>
      </c>
    </row>
    <row r="5437" spans="1:2" x14ac:dyDescent="0.3">
      <c r="A5437" s="7" t="str">
        <f>HYPERLINK("http://www.eatonpowersource.com/products/configure/industrial%20valves/details/02-351477","02-351477")</f>
        <v>02-351477</v>
      </c>
      <c r="B5437" s="8" t="s">
        <v>5396</v>
      </c>
    </row>
    <row r="5438" spans="1:2" x14ac:dyDescent="0.3">
      <c r="A5438" s="5" t="str">
        <f>HYPERLINK("http://www.eatonpowersource.com/products/configure/industrial%20valves/details/02-351552","02-351552")</f>
        <v>02-351552</v>
      </c>
      <c r="B5438" s="6" t="s">
        <v>5397</v>
      </c>
    </row>
    <row r="5439" spans="1:2" x14ac:dyDescent="0.3">
      <c r="A5439" s="7" t="str">
        <f>HYPERLINK("http://www.eatonpowersource.com/products/configure/industrial%20valves/details/02-352131","02-352131")</f>
        <v>02-352131</v>
      </c>
      <c r="B5439" s="8" t="s">
        <v>5398</v>
      </c>
    </row>
    <row r="5440" spans="1:2" x14ac:dyDescent="0.3">
      <c r="A5440" s="5" t="str">
        <f>HYPERLINK("http://www.eatonpowersource.com/products/configure/industrial%20valves/details/02-352217","02-352217")</f>
        <v>02-352217</v>
      </c>
      <c r="B5440" s="6" t="s">
        <v>5399</v>
      </c>
    </row>
    <row r="5441" spans="1:2" x14ac:dyDescent="0.3">
      <c r="A5441" s="7" t="str">
        <f>HYPERLINK("http://www.eatonpowersource.com/products/configure/industrial%20valves/details/02-352271","02-352271")</f>
        <v>02-352271</v>
      </c>
      <c r="B5441" s="8" t="s">
        <v>5400</v>
      </c>
    </row>
    <row r="5442" spans="1:2" x14ac:dyDescent="0.3">
      <c r="A5442" s="5" t="str">
        <f>HYPERLINK("http://www.eatonpowersource.com/products/configure/industrial%20valves/details/02-352332","02-352332")</f>
        <v>02-352332</v>
      </c>
      <c r="B5442" s="6" t="s">
        <v>5401</v>
      </c>
    </row>
    <row r="5443" spans="1:2" x14ac:dyDescent="0.3">
      <c r="A5443" s="7" t="str">
        <f>HYPERLINK("http://www.eatonpowersource.com/products/configure/industrial%20valves/details/02-352352","02-352352")</f>
        <v>02-352352</v>
      </c>
      <c r="B5443" s="8" t="s">
        <v>5402</v>
      </c>
    </row>
    <row r="5444" spans="1:2" x14ac:dyDescent="0.3">
      <c r="A5444" s="5" t="str">
        <f>HYPERLINK("http://www.eatonpowersource.com/products/configure/industrial%20valves/details/02-352888","02-352888")</f>
        <v>02-352888</v>
      </c>
      <c r="B5444" s="6" t="s">
        <v>5403</v>
      </c>
    </row>
    <row r="5445" spans="1:2" x14ac:dyDescent="0.3">
      <c r="A5445" s="7" t="str">
        <f>HYPERLINK("http://www.eatonpowersource.com/products/configure/industrial%20valves/details/02-352991","02-352991")</f>
        <v>02-352991</v>
      </c>
      <c r="B5445" s="8" t="s">
        <v>5404</v>
      </c>
    </row>
    <row r="5446" spans="1:2" x14ac:dyDescent="0.3">
      <c r="A5446" s="5" t="str">
        <f>HYPERLINK("http://www.eatonpowersource.com/products/configure/industrial%20valves/details/02-352993","02-352993")</f>
        <v>02-352993</v>
      </c>
      <c r="B5446" s="6" t="s">
        <v>5405</v>
      </c>
    </row>
    <row r="5447" spans="1:2" x14ac:dyDescent="0.3">
      <c r="A5447" s="7" t="str">
        <f>HYPERLINK("http://www.eatonpowersource.com/products/configure/industrial%20valves/details/02-352994","02-352994")</f>
        <v>02-352994</v>
      </c>
      <c r="B5447" s="8" t="s">
        <v>5406</v>
      </c>
    </row>
    <row r="5448" spans="1:2" x14ac:dyDescent="0.3">
      <c r="A5448" s="5" t="str">
        <f>HYPERLINK("http://www.eatonpowersource.com/products/configure/industrial%20valves/details/02-352999","02-352999")</f>
        <v>02-352999</v>
      </c>
      <c r="B5448" s="6" t="s">
        <v>5407</v>
      </c>
    </row>
    <row r="5449" spans="1:2" x14ac:dyDescent="0.3">
      <c r="A5449" s="7" t="str">
        <f>HYPERLINK("http://www.eatonpowersource.com/products/configure/industrial%20valves/details/02-353298","02-353298")</f>
        <v>02-353298</v>
      </c>
      <c r="B5449" s="8" t="s">
        <v>5408</v>
      </c>
    </row>
    <row r="5450" spans="1:2" x14ac:dyDescent="0.3">
      <c r="A5450" s="5" t="str">
        <f>HYPERLINK("http://www.eatonpowersource.com/products/configure/industrial%20valves/details/02-353451","02-353451")</f>
        <v>02-353451</v>
      </c>
      <c r="B5450" s="6" t="s">
        <v>5409</v>
      </c>
    </row>
    <row r="5451" spans="1:2" x14ac:dyDescent="0.3">
      <c r="A5451" s="7" t="str">
        <f>HYPERLINK("http://www.eatonpowersource.com/products/configure/industrial%20valves/details/02-353869","02-353869")</f>
        <v>02-353869</v>
      </c>
      <c r="B5451" s="8" t="s">
        <v>5410</v>
      </c>
    </row>
    <row r="5452" spans="1:2" x14ac:dyDescent="0.3">
      <c r="A5452" s="5" t="str">
        <f>HYPERLINK("http://www.eatonpowersource.com/products/configure/industrial%20valves/details/02-353883","02-353883")</f>
        <v>02-353883</v>
      </c>
      <c r="B5452" s="6" t="s">
        <v>5411</v>
      </c>
    </row>
    <row r="5453" spans="1:2" x14ac:dyDescent="0.3">
      <c r="A5453" s="7" t="str">
        <f>HYPERLINK("http://www.eatonpowersource.com/products/configure/industrial%20valves/details/02-354067","02-354067")</f>
        <v>02-354067</v>
      </c>
      <c r="B5453" s="8" t="s">
        <v>5412</v>
      </c>
    </row>
    <row r="5454" spans="1:2" x14ac:dyDescent="0.3">
      <c r="A5454" s="5" t="str">
        <f>HYPERLINK("http://www.eatonpowersource.com/products/configure/industrial%20valves/details/02-354374","02-354374")</f>
        <v>02-354374</v>
      </c>
      <c r="B5454" s="6" t="s">
        <v>5413</v>
      </c>
    </row>
    <row r="5455" spans="1:2" x14ac:dyDescent="0.3">
      <c r="A5455" s="7" t="str">
        <f>HYPERLINK("http://www.eatonpowersource.com/products/configure/industrial%20valves/details/02-358125","02-358125")</f>
        <v>02-358125</v>
      </c>
      <c r="B5455" s="8" t="s">
        <v>5414</v>
      </c>
    </row>
    <row r="5456" spans="1:2" x14ac:dyDescent="0.3">
      <c r="A5456" s="5" t="str">
        <f>HYPERLINK("http://www.eatonpowersource.com/products/configure/industrial%20valves/details/02-358431","02-358431")</f>
        <v>02-358431</v>
      </c>
      <c r="B5456" s="6" t="s">
        <v>5415</v>
      </c>
    </row>
    <row r="5457" spans="1:2" x14ac:dyDescent="0.3">
      <c r="A5457" s="7" t="str">
        <f>HYPERLINK("http://www.eatonpowersource.com/products/configure/industrial%20valves/details/02-358524","02-358524")</f>
        <v>02-358524</v>
      </c>
      <c r="B5457" s="8" t="s">
        <v>5416</v>
      </c>
    </row>
    <row r="5458" spans="1:2" x14ac:dyDescent="0.3">
      <c r="A5458" s="5" t="str">
        <f>HYPERLINK("http://www.eatonpowersource.com/products/configure/industrial%20valves/details/02-358788","02-358788")</f>
        <v>02-358788</v>
      </c>
      <c r="B5458" s="6" t="s">
        <v>5417</v>
      </c>
    </row>
    <row r="5459" spans="1:2" x14ac:dyDescent="0.3">
      <c r="A5459" s="7" t="str">
        <f>HYPERLINK("http://www.eatonpowersource.com/products/configure/industrial%20valves/details/02-358831","02-358831")</f>
        <v>02-358831</v>
      </c>
      <c r="B5459" s="8" t="s">
        <v>5418</v>
      </c>
    </row>
    <row r="5460" spans="1:2" x14ac:dyDescent="0.3">
      <c r="A5460" s="5" t="str">
        <f>HYPERLINK("http://www.eatonpowersource.com/products/configure/industrial%20valves/details/02-358920","02-358920")</f>
        <v>02-358920</v>
      </c>
      <c r="B5460" s="6" t="s">
        <v>5419</v>
      </c>
    </row>
    <row r="5461" spans="1:2" x14ac:dyDescent="0.3">
      <c r="A5461" s="7" t="str">
        <f>HYPERLINK("http://www.eatonpowersource.com/products/configure/industrial%20valves/details/02-358921","02-358921")</f>
        <v>02-358921</v>
      </c>
      <c r="B5461" s="8" t="s">
        <v>5420</v>
      </c>
    </row>
    <row r="5462" spans="1:2" x14ac:dyDescent="0.3">
      <c r="A5462" s="5" t="str">
        <f>HYPERLINK("http://www.eatonpowersource.com/products/configure/industrial%20valves/details/02-359114","02-359114")</f>
        <v>02-359114</v>
      </c>
      <c r="B5462" s="6" t="s">
        <v>5421</v>
      </c>
    </row>
    <row r="5463" spans="1:2" x14ac:dyDescent="0.3">
      <c r="A5463" s="7" t="str">
        <f>HYPERLINK("http://www.eatonpowersource.com/products/configure/industrial%20valves/details/02-359176","02-359176")</f>
        <v>02-359176</v>
      </c>
      <c r="B5463" s="8" t="s">
        <v>5422</v>
      </c>
    </row>
    <row r="5464" spans="1:2" x14ac:dyDescent="0.3">
      <c r="A5464" s="5" t="str">
        <f>HYPERLINK("http://www.eatonpowersource.com/products/configure/industrial%20valves/details/02-359222","02-359222")</f>
        <v>02-359222</v>
      </c>
      <c r="B5464" s="6" t="s">
        <v>5423</v>
      </c>
    </row>
    <row r="5465" spans="1:2" x14ac:dyDescent="0.3">
      <c r="A5465" s="7" t="str">
        <f>HYPERLINK("http://www.eatonpowersource.com/products/configure/industrial%20valves/details/02-359366","02-359366")</f>
        <v>02-359366</v>
      </c>
      <c r="B5465" s="8" t="s">
        <v>5424</v>
      </c>
    </row>
    <row r="5466" spans="1:2" x14ac:dyDescent="0.3">
      <c r="A5466" s="5" t="str">
        <f>HYPERLINK("http://www.eatonpowersource.com/products/configure/industrial%20valves/details/02-359424","02-359424")</f>
        <v>02-359424</v>
      </c>
      <c r="B5466" s="6" t="s">
        <v>5425</v>
      </c>
    </row>
    <row r="5467" spans="1:2" x14ac:dyDescent="0.3">
      <c r="A5467" s="7" t="str">
        <f>HYPERLINK("http://www.eatonpowersource.com/products/configure/industrial%20valves/details/02-359430","02-359430")</f>
        <v>02-359430</v>
      </c>
      <c r="B5467" s="8" t="s">
        <v>5426</v>
      </c>
    </row>
    <row r="5468" spans="1:2" x14ac:dyDescent="0.3">
      <c r="A5468" s="5" t="str">
        <f>HYPERLINK("http://www.eatonpowersource.com/products/configure/industrial%20valves/details/02-359529","02-359529")</f>
        <v>02-359529</v>
      </c>
      <c r="B5468" s="6" t="s">
        <v>5427</v>
      </c>
    </row>
    <row r="5469" spans="1:2" x14ac:dyDescent="0.3">
      <c r="A5469" s="7" t="str">
        <f>HYPERLINK("http://www.eatonpowersource.com/products/configure/industrial%20valves/details/02-359550","02-359550")</f>
        <v>02-359550</v>
      </c>
      <c r="B5469" s="8" t="s">
        <v>5428</v>
      </c>
    </row>
    <row r="5470" spans="1:2" x14ac:dyDescent="0.3">
      <c r="A5470" s="5" t="str">
        <f>HYPERLINK("http://www.eatonpowersource.com/products/configure/industrial%20valves/details/02-359555","02-359555")</f>
        <v>02-359555</v>
      </c>
      <c r="B5470" s="6" t="s">
        <v>5429</v>
      </c>
    </row>
    <row r="5471" spans="1:2" x14ac:dyDescent="0.3">
      <c r="A5471" s="7" t="str">
        <f>HYPERLINK("http://www.eatonpowersource.com/products/configure/industrial%20valves/details/02-359890","02-359890")</f>
        <v>02-359890</v>
      </c>
      <c r="B5471" s="8" t="s">
        <v>5430</v>
      </c>
    </row>
    <row r="5472" spans="1:2" x14ac:dyDescent="0.3">
      <c r="A5472" s="5" t="str">
        <f>HYPERLINK("http://www.eatonpowersource.com/products/configure/industrial%20valves/details/02-359937","02-359937")</f>
        <v>02-359937</v>
      </c>
      <c r="B5472" s="6" t="s">
        <v>5431</v>
      </c>
    </row>
    <row r="5473" spans="1:2" x14ac:dyDescent="0.3">
      <c r="A5473" s="7" t="str">
        <f>HYPERLINK("http://www.eatonpowersource.com/products/configure/industrial%20valves/details/02-360934","02-360934")</f>
        <v>02-360934</v>
      </c>
      <c r="B5473" s="8" t="s">
        <v>5432</v>
      </c>
    </row>
    <row r="5474" spans="1:2" x14ac:dyDescent="0.3">
      <c r="A5474" s="5" t="str">
        <f>HYPERLINK("http://www.eatonpowersource.com/products/configure/industrial%20valves/details/02-363118","02-363118")</f>
        <v>02-363118</v>
      </c>
      <c r="B5474" s="6" t="s">
        <v>5433</v>
      </c>
    </row>
    <row r="5475" spans="1:2" x14ac:dyDescent="0.3">
      <c r="A5475" s="7" t="str">
        <f>HYPERLINK("http://www.eatonpowersource.com/products/configure/industrial%20valves/details/02-363653","02-363653")</f>
        <v>02-363653</v>
      </c>
      <c r="B5475" s="8" t="s">
        <v>5434</v>
      </c>
    </row>
    <row r="5476" spans="1:2" x14ac:dyDescent="0.3">
      <c r="A5476" s="5" t="str">
        <f>HYPERLINK("http://www.eatonpowersource.com/products/configure/industrial%20valves/details/02-391668","02-391668")</f>
        <v>02-391668</v>
      </c>
      <c r="B5476" s="6" t="s">
        <v>5435</v>
      </c>
    </row>
    <row r="5477" spans="1:2" x14ac:dyDescent="0.3">
      <c r="A5477" s="7" t="str">
        <f>HYPERLINK("http://www.eatonpowersource.com/products/configure/industrial%20valves/details/02-393503","02-393503")</f>
        <v>02-393503</v>
      </c>
      <c r="B5477" s="8" t="s">
        <v>5436</v>
      </c>
    </row>
    <row r="5478" spans="1:2" x14ac:dyDescent="0.3">
      <c r="A5478" s="5" t="str">
        <f>HYPERLINK("http://www.eatonpowersource.com/products/configure/industrial%20valves/details/02-396837","02-396837")</f>
        <v>02-396837</v>
      </c>
      <c r="B5478" s="6" t="s">
        <v>5437</v>
      </c>
    </row>
    <row r="5479" spans="1:2" x14ac:dyDescent="0.3">
      <c r="A5479" s="7" t="str">
        <f>HYPERLINK("http://www.eatonpowersource.com/products/configure/industrial%20valves/details/02-397167","02-397167")</f>
        <v>02-397167</v>
      </c>
      <c r="B5479" s="8" t="s">
        <v>5438</v>
      </c>
    </row>
    <row r="5480" spans="1:2" x14ac:dyDescent="0.3">
      <c r="A5480" s="5" t="str">
        <f>HYPERLINK("http://www.eatonpowersource.com/products/configure/industrial%20valves/details/02-398392","02-398392")</f>
        <v>02-398392</v>
      </c>
      <c r="B5480" s="6" t="s">
        <v>5439</v>
      </c>
    </row>
    <row r="5481" spans="1:2" x14ac:dyDescent="0.3">
      <c r="A5481" s="7" t="str">
        <f>HYPERLINK("http://www.eatonpowersource.com/products/configure/industrial%20valves/details/02-399817","02-399817")</f>
        <v>02-399817</v>
      </c>
      <c r="B5481" s="8" t="s">
        <v>5440</v>
      </c>
    </row>
    <row r="5482" spans="1:2" x14ac:dyDescent="0.3">
      <c r="A5482" s="5" t="str">
        <f>HYPERLINK("http://www.eatonpowersource.com/products/configure/industrial%20valves/details/02-400631","02-400631")</f>
        <v>02-400631</v>
      </c>
      <c r="B5482" s="6" t="s">
        <v>5441</v>
      </c>
    </row>
    <row r="5483" spans="1:2" x14ac:dyDescent="0.3">
      <c r="A5483" s="7" t="str">
        <f>HYPERLINK("http://www.eatonpowersource.com/products/configure/industrial%20valves/details/02-411047","02-411047")</f>
        <v>02-411047</v>
      </c>
      <c r="B5483" s="8" t="s">
        <v>5442</v>
      </c>
    </row>
    <row r="5484" spans="1:2" x14ac:dyDescent="0.3">
      <c r="A5484" s="5" t="str">
        <f>HYPERLINK("http://www.eatonpowersource.com/products/configure/industrial%20valves/details/02-411054","02-411054")</f>
        <v>02-411054</v>
      </c>
      <c r="B5484" s="6" t="s">
        <v>5443</v>
      </c>
    </row>
    <row r="5485" spans="1:2" x14ac:dyDescent="0.3">
      <c r="A5485" s="7" t="str">
        <f>HYPERLINK("http://www.eatonpowersource.com/products/configure/industrial%20valves/details/02-411092","02-411092")</f>
        <v>02-411092</v>
      </c>
      <c r="B5485" s="8" t="s">
        <v>5444</v>
      </c>
    </row>
    <row r="5486" spans="1:2" x14ac:dyDescent="0.3">
      <c r="A5486" s="5" t="str">
        <f>HYPERLINK("http://www.eatonpowersource.com/products/configure/industrial%20valves/details/02-411094","02-411094")</f>
        <v>02-411094</v>
      </c>
      <c r="B5486" s="6" t="s">
        <v>5445</v>
      </c>
    </row>
    <row r="5487" spans="1:2" x14ac:dyDescent="0.3">
      <c r="A5487" s="7" t="str">
        <f>HYPERLINK("http://www.eatonpowersource.com/products/configure/industrial%20valves/details/02-411219","02-411219")</f>
        <v>02-411219</v>
      </c>
      <c r="B5487" s="8" t="s">
        <v>5446</v>
      </c>
    </row>
    <row r="5488" spans="1:2" x14ac:dyDescent="0.3">
      <c r="A5488" s="5" t="str">
        <f>HYPERLINK("http://www.eatonpowersource.com/products/configure/industrial%20valves/details/02-411265","02-411265")</f>
        <v>02-411265</v>
      </c>
      <c r="B5488" s="6" t="s">
        <v>5447</v>
      </c>
    </row>
    <row r="5489" spans="1:2" x14ac:dyDescent="0.3">
      <c r="A5489" s="7" t="str">
        <f>HYPERLINK("http://www.eatonpowersource.com/products/configure/industrial%20valves/details/02-411301","02-411301")</f>
        <v>02-411301</v>
      </c>
      <c r="B5489" s="8" t="s">
        <v>5448</v>
      </c>
    </row>
    <row r="5490" spans="1:2" x14ac:dyDescent="0.3">
      <c r="A5490" s="5" t="str">
        <f>HYPERLINK("http://www.eatonpowersource.com/products/configure/industrial%20valves/details/02-411418","02-411418")</f>
        <v>02-411418</v>
      </c>
      <c r="B5490" s="6" t="s">
        <v>5449</v>
      </c>
    </row>
    <row r="5491" spans="1:2" x14ac:dyDescent="0.3">
      <c r="A5491" s="7" t="str">
        <f>HYPERLINK("http://www.eatonpowersource.com/products/configure/industrial%20valves/details/02-411454","02-411454")</f>
        <v>02-411454</v>
      </c>
      <c r="B5491" s="8" t="s">
        <v>5450</v>
      </c>
    </row>
    <row r="5492" spans="1:2" x14ac:dyDescent="0.3">
      <c r="A5492" s="5" t="str">
        <f>HYPERLINK("http://www.eatonpowersource.com/products/configure/industrial%20valves/details/02-411455","02-411455")</f>
        <v>02-411455</v>
      </c>
      <c r="B5492" s="6" t="s">
        <v>5451</v>
      </c>
    </row>
    <row r="5493" spans="1:2" x14ac:dyDescent="0.3">
      <c r="A5493" s="7" t="str">
        <f>HYPERLINK("http://www.eatonpowersource.com/products/configure/industrial%20valves/details/02-411502","02-411502")</f>
        <v>02-411502</v>
      </c>
      <c r="B5493" s="8" t="s">
        <v>5452</v>
      </c>
    </row>
    <row r="5494" spans="1:2" x14ac:dyDescent="0.3">
      <c r="A5494" s="5" t="str">
        <f>HYPERLINK("http://www.eatonpowersource.com/products/configure/industrial%20valves/details/02-411534","02-411534")</f>
        <v>02-411534</v>
      </c>
      <c r="B5494" s="6" t="s">
        <v>5453</v>
      </c>
    </row>
    <row r="5495" spans="1:2" x14ac:dyDescent="0.3">
      <c r="A5495" s="7" t="str">
        <f>HYPERLINK("http://www.eatonpowersource.com/products/configure/industrial%20valves/details/02-411535","02-411535")</f>
        <v>02-411535</v>
      </c>
      <c r="B5495" s="8" t="s">
        <v>5454</v>
      </c>
    </row>
    <row r="5496" spans="1:2" x14ac:dyDescent="0.3">
      <c r="A5496" s="5" t="str">
        <f>HYPERLINK("http://www.eatonpowersource.com/products/configure/industrial%20valves/details/02-411563","02-411563")</f>
        <v>02-411563</v>
      </c>
      <c r="B5496" s="6" t="s">
        <v>5455</v>
      </c>
    </row>
    <row r="5497" spans="1:2" x14ac:dyDescent="0.3">
      <c r="A5497" s="7" t="str">
        <f>HYPERLINK("http://www.eatonpowersource.com/products/configure/industrial%20valves/details/02-411564","02-411564")</f>
        <v>02-411564</v>
      </c>
      <c r="B5497" s="8" t="s">
        <v>5456</v>
      </c>
    </row>
    <row r="5498" spans="1:2" x14ac:dyDescent="0.3">
      <c r="A5498" s="5" t="str">
        <f>HYPERLINK("http://www.eatonpowersource.com/products/configure/industrial%20valves/details/02-411571","02-411571")</f>
        <v>02-411571</v>
      </c>
      <c r="B5498" s="6" t="s">
        <v>5457</v>
      </c>
    </row>
    <row r="5499" spans="1:2" x14ac:dyDescent="0.3">
      <c r="A5499" s="7" t="str">
        <f>HYPERLINK("http://www.eatonpowersource.com/products/configure/industrial%20valves/details/02-411575","02-411575")</f>
        <v>02-411575</v>
      </c>
      <c r="B5499" s="8" t="s">
        <v>5458</v>
      </c>
    </row>
    <row r="5500" spans="1:2" x14ac:dyDescent="0.3">
      <c r="A5500" s="5" t="str">
        <f>HYPERLINK("http://www.eatonpowersource.com/products/configure/industrial%20valves/details/02-411670","02-411670")</f>
        <v>02-411670</v>
      </c>
      <c r="B5500" s="6" t="s">
        <v>5459</v>
      </c>
    </row>
    <row r="5501" spans="1:2" x14ac:dyDescent="0.3">
      <c r="A5501" s="7" t="str">
        <f>HYPERLINK("http://www.eatonpowersource.com/products/configure/industrial%20valves/details/02-411677","02-411677")</f>
        <v>02-411677</v>
      </c>
      <c r="B5501" s="8" t="s">
        <v>5460</v>
      </c>
    </row>
    <row r="5502" spans="1:2" x14ac:dyDescent="0.3">
      <c r="A5502" s="5" t="str">
        <f>HYPERLINK("http://www.eatonpowersource.com/products/configure/industrial%20valves/details/02-411720","02-411720")</f>
        <v>02-411720</v>
      </c>
      <c r="B5502" s="6" t="s">
        <v>5461</v>
      </c>
    </row>
    <row r="5503" spans="1:2" x14ac:dyDescent="0.3">
      <c r="A5503" s="7" t="str">
        <f>HYPERLINK("http://www.eatonpowersource.com/products/configure/industrial%20valves/details/02-411721","02-411721")</f>
        <v>02-411721</v>
      </c>
      <c r="B5503" s="8" t="s">
        <v>5462</v>
      </c>
    </row>
    <row r="5504" spans="1:2" x14ac:dyDescent="0.3">
      <c r="A5504" s="5" t="str">
        <f>HYPERLINK("http://www.eatonpowersource.com/products/configure/industrial%20valves/details/02-411723","02-411723")</f>
        <v>02-411723</v>
      </c>
      <c r="B5504" s="6" t="s">
        <v>5463</v>
      </c>
    </row>
    <row r="5505" spans="1:2" x14ac:dyDescent="0.3">
      <c r="A5505" s="7" t="str">
        <f>HYPERLINK("http://www.eatonpowersource.com/products/configure/industrial%20valves/details/02-411733","02-411733")</f>
        <v>02-411733</v>
      </c>
      <c r="B5505" s="8" t="s">
        <v>5464</v>
      </c>
    </row>
    <row r="5506" spans="1:2" x14ac:dyDescent="0.3">
      <c r="A5506" s="5" t="str">
        <f>HYPERLINK("http://www.eatonpowersource.com/products/configure/industrial%20valves/details/02-411742","02-411742")</f>
        <v>02-411742</v>
      </c>
      <c r="B5506" s="6" t="s">
        <v>5465</v>
      </c>
    </row>
    <row r="5507" spans="1:2" x14ac:dyDescent="0.3">
      <c r="A5507" s="7" t="str">
        <f>HYPERLINK("http://www.eatonpowersource.com/products/configure/industrial%20valves/details/02-411978","02-411978")</f>
        <v>02-411978</v>
      </c>
      <c r="B5507" s="8" t="s">
        <v>5466</v>
      </c>
    </row>
    <row r="5508" spans="1:2" x14ac:dyDescent="0.3">
      <c r="A5508" s="5" t="str">
        <f>HYPERLINK("http://www.eatonpowersource.com/products/configure/industrial%20valves/details/02-412104","02-412104")</f>
        <v>02-412104</v>
      </c>
      <c r="B5508" s="6" t="s">
        <v>5467</v>
      </c>
    </row>
    <row r="5509" spans="1:2" x14ac:dyDescent="0.3">
      <c r="A5509" s="7" t="str">
        <f>HYPERLINK("http://www.eatonpowersource.com/products/configure/industrial%20valves/details/02-412134","02-412134")</f>
        <v>02-412134</v>
      </c>
      <c r="B5509" s="8" t="s">
        <v>5468</v>
      </c>
    </row>
    <row r="5510" spans="1:2" x14ac:dyDescent="0.3">
      <c r="A5510" s="5" t="str">
        <f>HYPERLINK("http://www.eatonpowersource.com/products/configure/industrial%20valves/details/02-412188","02-412188")</f>
        <v>02-412188</v>
      </c>
      <c r="B5510" s="6" t="s">
        <v>5469</v>
      </c>
    </row>
    <row r="5511" spans="1:2" x14ac:dyDescent="0.3">
      <c r="A5511" s="7" t="str">
        <f>HYPERLINK("http://www.eatonpowersource.com/products/configure/industrial%20valves/details/02-412189","02-412189")</f>
        <v>02-412189</v>
      </c>
      <c r="B5511" s="8" t="s">
        <v>5470</v>
      </c>
    </row>
    <row r="5512" spans="1:2" x14ac:dyDescent="0.3">
      <c r="A5512" s="5" t="str">
        <f>HYPERLINK("http://www.eatonpowersource.com/products/configure/industrial%20valves/details/02-412191","02-412191")</f>
        <v>02-412191</v>
      </c>
      <c r="B5512" s="6" t="s">
        <v>5471</v>
      </c>
    </row>
    <row r="5513" spans="1:2" x14ac:dyDescent="0.3">
      <c r="A5513" s="7" t="str">
        <f>HYPERLINK("http://www.eatonpowersource.com/products/configure/industrial%20valves/details/02-412195","02-412195")</f>
        <v>02-412195</v>
      </c>
      <c r="B5513" s="8" t="s">
        <v>5472</v>
      </c>
    </row>
    <row r="5514" spans="1:2" x14ac:dyDescent="0.3">
      <c r="A5514" s="5" t="str">
        <f>HYPERLINK("http://www.eatonpowersource.com/products/configure/industrial%20valves/details/02-412358","02-412358")</f>
        <v>02-412358</v>
      </c>
      <c r="B5514" s="6" t="s">
        <v>5473</v>
      </c>
    </row>
    <row r="5515" spans="1:2" x14ac:dyDescent="0.3">
      <c r="A5515" s="7" t="str">
        <f>HYPERLINK("http://www.eatonpowersource.com/products/configure/industrial%20valves/details/02-412452","02-412452")</f>
        <v>02-412452</v>
      </c>
      <c r="B5515" s="8" t="s">
        <v>5474</v>
      </c>
    </row>
    <row r="5516" spans="1:2" x14ac:dyDescent="0.3">
      <c r="A5516" s="5" t="str">
        <f>HYPERLINK("http://www.eatonpowersource.com/products/configure/industrial%20valves/details/02-412536","02-412536")</f>
        <v>02-412536</v>
      </c>
      <c r="B5516" s="6" t="s">
        <v>5475</v>
      </c>
    </row>
    <row r="5517" spans="1:2" x14ac:dyDescent="0.3">
      <c r="A5517" s="7" t="str">
        <f>HYPERLINK("http://www.eatonpowersource.com/products/configure/industrial%20valves/details/02-412538","02-412538")</f>
        <v>02-412538</v>
      </c>
      <c r="B5517" s="8" t="s">
        <v>5476</v>
      </c>
    </row>
    <row r="5518" spans="1:2" x14ac:dyDescent="0.3">
      <c r="A5518" s="5" t="str">
        <f>HYPERLINK("http://www.eatonpowersource.com/products/configure/industrial%20valves/details/02-412544","02-412544")</f>
        <v>02-412544</v>
      </c>
      <c r="B5518" s="6" t="s">
        <v>5477</v>
      </c>
    </row>
    <row r="5519" spans="1:2" x14ac:dyDescent="0.3">
      <c r="A5519" s="7" t="str">
        <f>HYPERLINK("http://www.eatonpowersource.com/products/configure/industrial%20valves/details/02-412545","02-412545")</f>
        <v>02-412545</v>
      </c>
      <c r="B5519" s="8" t="s">
        <v>5478</v>
      </c>
    </row>
    <row r="5520" spans="1:2" x14ac:dyDescent="0.3">
      <c r="A5520" s="5" t="str">
        <f>HYPERLINK("http://www.eatonpowersource.com/products/configure/industrial%20valves/details/02-412546","02-412546")</f>
        <v>02-412546</v>
      </c>
      <c r="B5520" s="6" t="s">
        <v>5479</v>
      </c>
    </row>
    <row r="5521" spans="1:2" x14ac:dyDescent="0.3">
      <c r="A5521" s="7" t="str">
        <f>HYPERLINK("http://www.eatonpowersource.com/products/configure/industrial%20valves/details/02-412548","02-412548")</f>
        <v>02-412548</v>
      </c>
      <c r="B5521" s="8" t="s">
        <v>5480</v>
      </c>
    </row>
    <row r="5522" spans="1:2" x14ac:dyDescent="0.3">
      <c r="A5522" s="5" t="str">
        <f>HYPERLINK("http://www.eatonpowersource.com/products/configure/industrial%20valves/details/02-412549","02-412549")</f>
        <v>02-412549</v>
      </c>
      <c r="B5522" s="6" t="s">
        <v>5481</v>
      </c>
    </row>
    <row r="5523" spans="1:2" x14ac:dyDescent="0.3">
      <c r="A5523" s="7" t="str">
        <f>HYPERLINK("http://www.eatonpowersource.com/products/configure/industrial%20valves/details/02-412557","02-412557")</f>
        <v>02-412557</v>
      </c>
      <c r="B5523" s="8" t="s">
        <v>5482</v>
      </c>
    </row>
    <row r="5524" spans="1:2" x14ac:dyDescent="0.3">
      <c r="A5524" s="5" t="str">
        <f>HYPERLINK("http://www.eatonpowersource.com/products/configure/industrial%20valves/details/02-412660","02-412660")</f>
        <v>02-412660</v>
      </c>
      <c r="B5524" s="6" t="s">
        <v>5483</v>
      </c>
    </row>
    <row r="5525" spans="1:2" x14ac:dyDescent="0.3">
      <c r="A5525" s="7" t="str">
        <f>HYPERLINK("http://www.eatonpowersource.com/products/configure/industrial%20valves/details/02-412684","02-412684")</f>
        <v>02-412684</v>
      </c>
      <c r="B5525" s="8" t="s">
        <v>5484</v>
      </c>
    </row>
    <row r="5526" spans="1:2" x14ac:dyDescent="0.3">
      <c r="A5526" s="5" t="str">
        <f>HYPERLINK("http://www.eatonpowersource.com/products/configure/industrial%20valves/details/02-412804","02-412804")</f>
        <v>02-412804</v>
      </c>
      <c r="B5526" s="6" t="s">
        <v>5485</v>
      </c>
    </row>
    <row r="5527" spans="1:2" x14ac:dyDescent="0.3">
      <c r="A5527" s="7" t="str">
        <f>HYPERLINK("http://www.eatonpowersource.com/products/configure/industrial%20valves/details/02-412805","02-412805")</f>
        <v>02-412805</v>
      </c>
      <c r="B5527" s="8" t="s">
        <v>5486</v>
      </c>
    </row>
    <row r="5528" spans="1:2" x14ac:dyDescent="0.3">
      <c r="A5528" s="5" t="str">
        <f>HYPERLINK("http://www.eatonpowersource.com/products/configure/industrial%20valves/details/02-412863","02-412863")</f>
        <v>02-412863</v>
      </c>
      <c r="B5528" s="6" t="s">
        <v>5487</v>
      </c>
    </row>
    <row r="5529" spans="1:2" x14ac:dyDescent="0.3">
      <c r="A5529" s="7" t="str">
        <f>HYPERLINK("http://www.eatonpowersource.com/products/configure/industrial%20valves/details/02-412877","02-412877")</f>
        <v>02-412877</v>
      </c>
      <c r="B5529" s="8" t="s">
        <v>5488</v>
      </c>
    </row>
    <row r="5530" spans="1:2" x14ac:dyDescent="0.3">
      <c r="A5530" s="5" t="str">
        <f>HYPERLINK("http://www.eatonpowersource.com/products/configure/industrial%20valves/details/02-412912","02-412912")</f>
        <v>02-412912</v>
      </c>
      <c r="B5530" s="6" t="s">
        <v>5489</v>
      </c>
    </row>
    <row r="5531" spans="1:2" x14ac:dyDescent="0.3">
      <c r="A5531" s="7" t="str">
        <f>HYPERLINK("http://www.eatonpowersource.com/products/configure/industrial%20valves/details/02-413373","02-413373")</f>
        <v>02-413373</v>
      </c>
      <c r="B5531" s="8" t="s">
        <v>5490</v>
      </c>
    </row>
    <row r="5532" spans="1:2" x14ac:dyDescent="0.3">
      <c r="A5532" s="5" t="str">
        <f>HYPERLINK("http://www.eatonpowersource.com/products/configure/industrial%20valves/details/02-413487","02-413487")</f>
        <v>02-413487</v>
      </c>
      <c r="B5532" s="6" t="s">
        <v>5491</v>
      </c>
    </row>
    <row r="5533" spans="1:2" x14ac:dyDescent="0.3">
      <c r="A5533" s="7" t="str">
        <f>HYPERLINK("http://www.eatonpowersource.com/products/configure/industrial%20valves/details/02-413985","02-413985")</f>
        <v>02-413985</v>
      </c>
      <c r="B5533" s="8" t="s">
        <v>5492</v>
      </c>
    </row>
    <row r="5534" spans="1:2" x14ac:dyDescent="0.3">
      <c r="A5534" s="5" t="str">
        <f>HYPERLINK("http://www.eatonpowersource.com/products/configure/industrial%20valves/details/02-414040","02-414040")</f>
        <v>02-414040</v>
      </c>
      <c r="B5534" s="6" t="s">
        <v>5493</v>
      </c>
    </row>
    <row r="5535" spans="1:2" x14ac:dyDescent="0.3">
      <c r="A5535" s="7" t="str">
        <f>HYPERLINK("http://www.eatonpowersource.com/products/configure/industrial%20valves/details/02-414076","02-414076")</f>
        <v>02-414076</v>
      </c>
      <c r="B5535" s="8" t="s">
        <v>5494</v>
      </c>
    </row>
    <row r="5536" spans="1:2" x14ac:dyDescent="0.3">
      <c r="A5536" s="5" t="str">
        <f>HYPERLINK("http://www.eatonpowersource.com/products/configure/industrial%20valves/details/02-414379","02-414379")</f>
        <v>02-414379</v>
      </c>
      <c r="B5536" s="6" t="s">
        <v>5495</v>
      </c>
    </row>
    <row r="5537" spans="1:2" x14ac:dyDescent="0.3">
      <c r="A5537" s="7" t="str">
        <f>HYPERLINK("http://www.eatonpowersource.com/products/configure/industrial%20valves/details/02-414620","02-414620")</f>
        <v>02-414620</v>
      </c>
      <c r="B5537" s="8" t="s">
        <v>5496</v>
      </c>
    </row>
    <row r="5538" spans="1:2" x14ac:dyDescent="0.3">
      <c r="A5538" s="5" t="str">
        <f>HYPERLINK("http://www.eatonpowersource.com/products/configure/industrial%20valves/details/02-414639","02-414639")</f>
        <v>02-414639</v>
      </c>
      <c r="B5538" s="6" t="s">
        <v>5497</v>
      </c>
    </row>
    <row r="5539" spans="1:2" x14ac:dyDescent="0.3">
      <c r="A5539" s="7" t="str">
        <f>HYPERLINK("http://www.eatonpowersource.com/products/configure/industrial%20valves/details/02-414675","02-414675")</f>
        <v>02-414675</v>
      </c>
      <c r="B5539" s="8" t="s">
        <v>5498</v>
      </c>
    </row>
    <row r="5540" spans="1:2" x14ac:dyDescent="0.3">
      <c r="A5540" s="5" t="str">
        <f>HYPERLINK("http://www.eatonpowersource.com/products/configure/industrial%20valves/details/02-414680","02-414680")</f>
        <v>02-414680</v>
      </c>
      <c r="B5540" s="6" t="s">
        <v>5499</v>
      </c>
    </row>
    <row r="5541" spans="1:2" x14ac:dyDescent="0.3">
      <c r="A5541" s="7" t="str">
        <f>HYPERLINK("http://www.eatonpowersource.com/products/configure/industrial%20valves/details/02-414729","02-414729")</f>
        <v>02-414729</v>
      </c>
      <c r="B5541" s="8" t="s">
        <v>5500</v>
      </c>
    </row>
    <row r="5542" spans="1:2" x14ac:dyDescent="0.3">
      <c r="A5542" s="5" t="str">
        <f>HYPERLINK("http://www.eatonpowersource.com/products/configure/industrial%20valves/details/02-414877","02-414877")</f>
        <v>02-414877</v>
      </c>
      <c r="B5542" s="6" t="s">
        <v>5501</v>
      </c>
    </row>
    <row r="5543" spans="1:2" x14ac:dyDescent="0.3">
      <c r="A5543" s="7" t="str">
        <f>HYPERLINK("http://www.eatonpowersource.com/products/configure/industrial%20valves/details/02-414879","02-414879")</f>
        <v>02-414879</v>
      </c>
      <c r="B5543" s="8" t="s">
        <v>5502</v>
      </c>
    </row>
    <row r="5544" spans="1:2" x14ac:dyDescent="0.3">
      <c r="A5544" s="5" t="str">
        <f>HYPERLINK("http://www.eatonpowersource.com/products/configure/industrial%20valves/details/02-414958","02-414958")</f>
        <v>02-414958</v>
      </c>
      <c r="B5544" s="6" t="s">
        <v>5503</v>
      </c>
    </row>
    <row r="5545" spans="1:2" x14ac:dyDescent="0.3">
      <c r="A5545" s="7" t="str">
        <f>HYPERLINK("http://www.eatonpowersource.com/products/configure/industrial%20valves/details/02-414977","02-414977")</f>
        <v>02-414977</v>
      </c>
      <c r="B5545" s="8" t="s">
        <v>5504</v>
      </c>
    </row>
    <row r="5546" spans="1:2" x14ac:dyDescent="0.3">
      <c r="A5546" s="5" t="str">
        <f>HYPERLINK("http://www.eatonpowersource.com/products/configure/industrial%20valves/details/529760","529760")</f>
        <v>529760</v>
      </c>
      <c r="B5546" s="6" t="s">
        <v>5505</v>
      </c>
    </row>
    <row r="5547" spans="1:2" x14ac:dyDescent="0.3">
      <c r="A5547" s="7" t="str">
        <f>HYPERLINK("http://www.eatonpowersource.com/products/configure/industrial%20valves/details/529761","529761")</f>
        <v>529761</v>
      </c>
      <c r="B5547" s="8" t="s">
        <v>5506</v>
      </c>
    </row>
    <row r="5548" spans="1:2" x14ac:dyDescent="0.3">
      <c r="A5548" s="5" t="str">
        <f>HYPERLINK("http://www.eatonpowersource.com/products/configure/industrial%20valves/details/529762","529762")</f>
        <v>529762</v>
      </c>
      <c r="B5548" s="6" t="s">
        <v>5507</v>
      </c>
    </row>
    <row r="5549" spans="1:2" x14ac:dyDescent="0.3">
      <c r="A5549" s="7" t="str">
        <f>HYPERLINK("http://www.eatonpowersource.com/products/configure/industrial%20valves/details/529763","529763")</f>
        <v>529763</v>
      </c>
      <c r="B5549" s="8" t="s">
        <v>5508</v>
      </c>
    </row>
    <row r="5550" spans="1:2" x14ac:dyDescent="0.3">
      <c r="A5550" s="5" t="str">
        <f>HYPERLINK("http://www.eatonpowersource.com/products/configure/industrial%20valves/details/529764","529764")</f>
        <v>529764</v>
      </c>
      <c r="B5550" s="6" t="s">
        <v>5509</v>
      </c>
    </row>
    <row r="5551" spans="1:2" x14ac:dyDescent="0.3">
      <c r="A5551" s="7" t="str">
        <f>HYPERLINK("http://www.eatonpowersource.com/products/configure/industrial%20valves/details/529765","529765")</f>
        <v>529765</v>
      </c>
      <c r="B5551" s="8" t="s">
        <v>5510</v>
      </c>
    </row>
    <row r="5552" spans="1:2" x14ac:dyDescent="0.3">
      <c r="A5552" s="5" t="str">
        <f>HYPERLINK("http://www.eatonpowersource.com/products/configure/industrial%20valves/details/565465","565465")</f>
        <v>565465</v>
      </c>
      <c r="B5552" s="6" t="s">
        <v>5511</v>
      </c>
    </row>
    <row r="5553" spans="1:2" x14ac:dyDescent="0.3">
      <c r="A5553" s="7" t="str">
        <f>HYPERLINK("http://www.eatonpowersource.com/products/configure/industrial%20valves/details/565466","565466")</f>
        <v>565466</v>
      </c>
      <c r="B5553" s="8" t="s">
        <v>5512</v>
      </c>
    </row>
    <row r="5554" spans="1:2" x14ac:dyDescent="0.3">
      <c r="A5554" s="5" t="str">
        <f>HYPERLINK("http://www.eatonpowersource.com/products/configure/industrial%20valves/details/565477","565477")</f>
        <v>565477</v>
      </c>
      <c r="B5554" s="6" t="s">
        <v>5513</v>
      </c>
    </row>
    <row r="5555" spans="1:2" x14ac:dyDescent="0.3">
      <c r="A5555" s="7" t="str">
        <f>HYPERLINK("http://www.eatonpowersource.com/products/configure/industrial%20valves/details/6037707-001","6037707-001")</f>
        <v>6037707-001</v>
      </c>
      <c r="B5555" s="8" t="s">
        <v>5514</v>
      </c>
    </row>
    <row r="5556" spans="1:2" x14ac:dyDescent="0.3">
      <c r="A5556" s="5" t="str">
        <f>HYPERLINK("http://www.eatonpowersource.com/products/configure/industrial%20valves/details/6037859-001","6037859-001")</f>
        <v>6037859-001</v>
      </c>
      <c r="B5556" s="6" t="s">
        <v>5515</v>
      </c>
    </row>
    <row r="5557" spans="1:2" x14ac:dyDescent="0.3">
      <c r="A5557" s="7" t="str">
        <f>HYPERLINK("http://www.eatonpowersource.com/products/configure/industrial%20valves/details/6040070-001","6040070-001")</f>
        <v>6040070-001</v>
      </c>
      <c r="B5557" s="8" t="s">
        <v>5516</v>
      </c>
    </row>
    <row r="5558" spans="1:2" x14ac:dyDescent="0.3">
      <c r="A5558" s="5" t="str">
        <f>HYPERLINK("http://www.eatonpowersource.com/products/configure/industrial%20valves/details/6041680-001","6041680-001")</f>
        <v>6041680-001</v>
      </c>
      <c r="B5558" s="6" t="s">
        <v>5517</v>
      </c>
    </row>
    <row r="5559" spans="1:2" x14ac:dyDescent="0.3">
      <c r="A5559" s="7" t="str">
        <f>HYPERLINK("http://www.eatonpowersource.com/products/configure/industrial%20valves/details/6042342-001","6042342-001")</f>
        <v>6042342-001</v>
      </c>
      <c r="B5559" s="8" t="s">
        <v>5518</v>
      </c>
    </row>
    <row r="5560" spans="1:2" x14ac:dyDescent="0.3">
      <c r="A5560" s="5" t="str">
        <f>HYPERLINK("http://www.eatonpowersource.com/products/configure/industrial%20valves/details/6042343-001","6042343-001")</f>
        <v>6042343-001</v>
      </c>
      <c r="B5560" s="6" t="s">
        <v>5519</v>
      </c>
    </row>
    <row r="5561" spans="1:2" x14ac:dyDescent="0.3">
      <c r="A5561" s="7" t="str">
        <f>HYPERLINK("http://www.eatonpowersource.com/products/configure/industrial%20valves/details/6042347-001","6042347-001")</f>
        <v>6042347-001</v>
      </c>
      <c r="B5561" s="8" t="s">
        <v>5520</v>
      </c>
    </row>
    <row r="5562" spans="1:2" x14ac:dyDescent="0.3">
      <c r="A5562" s="5" t="str">
        <f>HYPERLINK("http://www.eatonpowersource.com/products/configure/industrial%20valves/details/6042402-001","6042402-001")</f>
        <v>6042402-001</v>
      </c>
      <c r="B5562" s="6" t="s">
        <v>5521</v>
      </c>
    </row>
    <row r="5563" spans="1:2" x14ac:dyDescent="0.3">
      <c r="A5563" s="7" t="str">
        <f>HYPERLINK("http://www.eatonpowersource.com/products/configure/industrial%20valves/details/6042573-001","6042573-001")</f>
        <v>6042573-001</v>
      </c>
      <c r="B5563" s="8" t="s">
        <v>5522</v>
      </c>
    </row>
    <row r="5564" spans="1:2" x14ac:dyDescent="0.3">
      <c r="A5564" s="5" t="str">
        <f>HYPERLINK("http://www.eatonpowersource.com/products/configure/industrial%20valves/details/6042988-001","6042988-001")</f>
        <v>6042988-001</v>
      </c>
      <c r="B5564" s="6" t="s">
        <v>5523</v>
      </c>
    </row>
    <row r="5565" spans="1:2" x14ac:dyDescent="0.3">
      <c r="A5565" s="7" t="str">
        <f>HYPERLINK("http://www.eatonpowersource.com/products/configure/industrial%20valves/details/6043313-001","6043313-001")</f>
        <v>6043313-001</v>
      </c>
      <c r="B5565" s="8" t="s">
        <v>5524</v>
      </c>
    </row>
    <row r="5566" spans="1:2" x14ac:dyDescent="0.3">
      <c r="A5566" s="5" t="str">
        <f>HYPERLINK("http://www.eatonpowersource.com/products/configure/industrial%20valves/details/6045468-001","6045468-001")</f>
        <v>6045468-001</v>
      </c>
      <c r="B5566" s="6" t="s">
        <v>5525</v>
      </c>
    </row>
    <row r="5567" spans="1:2" x14ac:dyDescent="0.3">
      <c r="A5567" s="7" t="str">
        <f>HYPERLINK("http://www.eatonpowersource.com/products/configure/industrial%20valves/details/6045493-001","6045493-001")</f>
        <v>6045493-001</v>
      </c>
      <c r="B5567" s="8" t="s">
        <v>5526</v>
      </c>
    </row>
    <row r="5568" spans="1:2" x14ac:dyDescent="0.3">
      <c r="A5568" s="5" t="str">
        <f>HYPERLINK("http://www.eatonpowersource.com/products/configure/industrial%20valves/details/6045505-001","6045505-001")</f>
        <v>6045505-001</v>
      </c>
      <c r="B5568" s="6" t="s">
        <v>5527</v>
      </c>
    </row>
    <row r="5569" spans="1:2" x14ac:dyDescent="0.3">
      <c r="A5569" s="7" t="str">
        <f>HYPERLINK("http://www.eatonpowersource.com/products/configure/industrial%20valves/details/700an00019a","700AN00019A")</f>
        <v>700AN00019A</v>
      </c>
      <c r="B5569" s="8" t="s">
        <v>5528</v>
      </c>
    </row>
    <row r="5570" spans="1:2" x14ac:dyDescent="0.3">
      <c r="A5570" s="5" t="str">
        <f>HYPERLINK("http://www.eatonpowersource.com/products/configure/industrial%20valves/details/833an00062a","833AN00062A")</f>
        <v>833AN00062A</v>
      </c>
      <c r="B5570" s="6" t="s">
        <v>5529</v>
      </c>
    </row>
    <row r="5571" spans="1:2" x14ac:dyDescent="0.3">
      <c r="A5571" s="7" t="str">
        <f>HYPERLINK("http://www.eatonpowersource.com/products/configure/industrial%20valves/details/833an00094a","833AN00094A")</f>
        <v>833AN00094A</v>
      </c>
      <c r="B5571" s="8" t="s">
        <v>5530</v>
      </c>
    </row>
    <row r="5572" spans="1:2" x14ac:dyDescent="0.3">
      <c r="A5572" s="5" t="str">
        <f>HYPERLINK("http://www.eatonpowersource.com/products/configure/industrial%20valves/details/833an00122a","833AN00122A")</f>
        <v>833AN00122A</v>
      </c>
      <c r="B5572" s="6" t="s">
        <v>5531</v>
      </c>
    </row>
    <row r="5573" spans="1:2" x14ac:dyDescent="0.3">
      <c r="A5573" s="7" t="str">
        <f>HYPERLINK("http://www.eatonpowersource.com/products/configure/industrial%20valves/details/833an00164a","833AN00164A")</f>
        <v>833AN00164A</v>
      </c>
      <c r="B5573" s="8" t="s">
        <v>5532</v>
      </c>
    </row>
    <row r="5574" spans="1:2" x14ac:dyDescent="0.3">
      <c r="A5574" s="5" t="str">
        <f>HYPERLINK("http://www.eatonpowersource.com/products/configure/industrial%20valves/details/833an00176a","833AN00176A")</f>
        <v>833AN00176A</v>
      </c>
      <c r="B5574" s="6" t="s">
        <v>5533</v>
      </c>
    </row>
    <row r="5575" spans="1:2" x14ac:dyDescent="0.3">
      <c r="A5575" s="7" t="str">
        <f>HYPERLINK("http://www.eatonpowersource.com/products/configure/industrial%20valves/details/833an00177a","833AN00177A")</f>
        <v>833AN00177A</v>
      </c>
      <c r="B5575" s="8" t="s">
        <v>5534</v>
      </c>
    </row>
    <row r="5576" spans="1:2" x14ac:dyDescent="0.3">
      <c r="A5576" s="5" t="str">
        <f>HYPERLINK("http://www.eatonpowersource.com/products/configure/industrial%20valves/details/833an00178a","833AN00178A")</f>
        <v>833AN00178A</v>
      </c>
      <c r="B5576" s="6" t="s">
        <v>5535</v>
      </c>
    </row>
    <row r="5577" spans="1:2" x14ac:dyDescent="0.3">
      <c r="A5577" s="7" t="str">
        <f>HYPERLINK("http://www.eatonpowersource.com/products/configure/industrial%20valves/details/833an00179a","833AN00179A")</f>
        <v>833AN00179A</v>
      </c>
      <c r="B5577" s="8" t="s">
        <v>5536</v>
      </c>
    </row>
    <row r="5578" spans="1:2" x14ac:dyDescent="0.3">
      <c r="A5578" s="5" t="str">
        <f>HYPERLINK("http://www.eatonpowersource.com/products/configure/industrial%20valves/details/833an00180a","833AN00180A")</f>
        <v>833AN00180A</v>
      </c>
      <c r="B5578" s="6" t="s">
        <v>5537</v>
      </c>
    </row>
    <row r="5579" spans="1:2" x14ac:dyDescent="0.3">
      <c r="A5579" s="7" t="str">
        <f>HYPERLINK("http://www.eatonpowersource.com/products/configure/industrial%20valves/details/833an00182a","833AN00182A")</f>
        <v>833AN00182A</v>
      </c>
      <c r="B5579" s="8" t="s">
        <v>5538</v>
      </c>
    </row>
    <row r="5580" spans="1:2" x14ac:dyDescent="0.3">
      <c r="A5580" s="5" t="str">
        <f>HYPERLINK("http://www.eatonpowersource.com/products/configure/industrial%20valves/details/833an00191a","833AN00191A")</f>
        <v>833AN00191A</v>
      </c>
      <c r="B5580" s="6" t="s">
        <v>5539</v>
      </c>
    </row>
    <row r="5581" spans="1:2" x14ac:dyDescent="0.3">
      <c r="A5581" s="7" t="str">
        <f>HYPERLINK("http://www.eatonpowersource.com/products/configure/industrial%20valves/details/833an00198a","833AN00198A")</f>
        <v>833AN00198A</v>
      </c>
      <c r="B5581" s="8" t="s">
        <v>5540</v>
      </c>
    </row>
    <row r="5582" spans="1:2" x14ac:dyDescent="0.3">
      <c r="A5582" s="5" t="str">
        <f>HYPERLINK("http://www.eatonpowersource.com/products/configure/industrial%20valves/details/833an00207a","833AN00207A")</f>
        <v>833AN00207A</v>
      </c>
      <c r="B5582" s="6" t="s">
        <v>5541</v>
      </c>
    </row>
    <row r="5583" spans="1:2" x14ac:dyDescent="0.3">
      <c r="A5583" s="7" t="str">
        <f>HYPERLINK("http://www.eatonpowersource.com/products/configure/industrial%20valves/details/833an00208a","833AN00208A")</f>
        <v>833AN00208A</v>
      </c>
      <c r="B5583" s="8" t="s">
        <v>5542</v>
      </c>
    </row>
    <row r="5584" spans="1:2" x14ac:dyDescent="0.3">
      <c r="A5584" s="5" t="str">
        <f>HYPERLINK("http://www.eatonpowersource.com/products/configure/industrial%20valves/details/833an00212a","833AN00212A")</f>
        <v>833AN00212A</v>
      </c>
      <c r="B5584" s="6" t="s">
        <v>5543</v>
      </c>
    </row>
    <row r="5585" spans="1:2" x14ac:dyDescent="0.3">
      <c r="A5585" s="7" t="str">
        <f>HYPERLINK("http://www.eatonpowersource.com/products/configure/industrial%20valves/details/833an00227a","833AN00227A")</f>
        <v>833AN00227A</v>
      </c>
      <c r="B5585" s="8" t="s">
        <v>5544</v>
      </c>
    </row>
    <row r="5586" spans="1:2" x14ac:dyDescent="0.3">
      <c r="A5586" s="5" t="str">
        <f>HYPERLINK("http://www.eatonpowersource.com/products/configure/industrial%20valves/details/833an00242a","833AN00242A")</f>
        <v>833AN00242A</v>
      </c>
      <c r="B5586" s="6" t="s">
        <v>5545</v>
      </c>
    </row>
    <row r="5587" spans="1:2" x14ac:dyDescent="0.3">
      <c r="A5587" s="7" t="str">
        <f>HYPERLINK("http://www.eatonpowersource.com/products/configure/industrial%20valves/details/833an00244a","833AN00244A")</f>
        <v>833AN00244A</v>
      </c>
      <c r="B5587" s="8" t="s">
        <v>5546</v>
      </c>
    </row>
    <row r="5588" spans="1:2" x14ac:dyDescent="0.3">
      <c r="A5588" s="5" t="str">
        <f>HYPERLINK("http://www.eatonpowersource.com/products/configure/industrial%20valves/details/833an00253a","833AN00253A")</f>
        <v>833AN00253A</v>
      </c>
      <c r="B5588" s="6" t="s">
        <v>5547</v>
      </c>
    </row>
    <row r="5589" spans="1:2" x14ac:dyDescent="0.3">
      <c r="A5589" s="7" t="str">
        <f>HYPERLINK("http://www.eatonpowersource.com/products/configure/industrial%20valves/details/833an00257a","833AN00257A")</f>
        <v>833AN00257A</v>
      </c>
      <c r="B5589" s="8" t="s">
        <v>5548</v>
      </c>
    </row>
    <row r="5590" spans="1:2" x14ac:dyDescent="0.3">
      <c r="A5590" s="5" t="str">
        <f>HYPERLINK("http://www.eatonpowersource.com/products/configure/industrial%20valves/details/833an00260a","833AN00260A")</f>
        <v>833AN00260A</v>
      </c>
      <c r="B5590" s="6" t="s">
        <v>5549</v>
      </c>
    </row>
    <row r="5591" spans="1:2" x14ac:dyDescent="0.3">
      <c r="A5591" s="7" t="str">
        <f>HYPERLINK("http://www.eatonpowersource.com/products/configure/industrial%20valves/details/833an00261a","833AN00261A")</f>
        <v>833AN00261A</v>
      </c>
      <c r="B5591" s="8" t="s">
        <v>5550</v>
      </c>
    </row>
    <row r="5592" spans="1:2" x14ac:dyDescent="0.3">
      <c r="A5592" s="5" t="str">
        <f>HYPERLINK("http://www.eatonpowersource.com/products/configure/industrial%20valves/details/833an00262a","833AN00262A")</f>
        <v>833AN00262A</v>
      </c>
      <c r="B5592" s="6" t="s">
        <v>5551</v>
      </c>
    </row>
    <row r="5593" spans="1:2" x14ac:dyDescent="0.3">
      <c r="A5593" s="7" t="str">
        <f>HYPERLINK("http://www.eatonpowersource.com/products/configure/industrial%20valves/details/833an00263a","833AN00263A")</f>
        <v>833AN00263A</v>
      </c>
      <c r="B5593" s="8" t="s">
        <v>5552</v>
      </c>
    </row>
    <row r="5594" spans="1:2" x14ac:dyDescent="0.3">
      <c r="A5594" s="5" t="str">
        <f>HYPERLINK("http://www.eatonpowersource.com/products/configure/industrial%20valves/details/833an00264a","833AN00264A")</f>
        <v>833AN00264A</v>
      </c>
      <c r="B5594" s="6" t="s">
        <v>5553</v>
      </c>
    </row>
    <row r="5595" spans="1:2" x14ac:dyDescent="0.3">
      <c r="A5595" s="7" t="str">
        <f>HYPERLINK("http://www.eatonpowersource.com/products/configure/industrial%20valves/details/833an00267a","833AN00267A")</f>
        <v>833AN00267A</v>
      </c>
      <c r="B5595" s="8" t="s">
        <v>5554</v>
      </c>
    </row>
    <row r="5596" spans="1:2" x14ac:dyDescent="0.3">
      <c r="A5596" s="5" t="str">
        <f>HYPERLINK("http://www.eatonpowersource.com/products/configure/industrial%20valves/details/843an00025a","843AN00025A")</f>
        <v>843AN00025A</v>
      </c>
      <c r="B5596" s="6" t="s">
        <v>5555</v>
      </c>
    </row>
    <row r="5597" spans="1:2" x14ac:dyDescent="0.3">
      <c r="A5597" s="7" t="str">
        <f>HYPERLINK("http://www.eatonpowersource.com/products/configure/industrial%20valves/details/843an00026a","843AN00026A")</f>
        <v>843AN00026A</v>
      </c>
      <c r="B5597" s="8" t="s">
        <v>5556</v>
      </c>
    </row>
    <row r="5598" spans="1:2" x14ac:dyDescent="0.3">
      <c r="A5598" s="5" t="str">
        <f>HYPERLINK("http://www.eatonpowersource.com/products/configure/industrial%20valves/details/843an00027a","843AN00027A")</f>
        <v>843AN00027A</v>
      </c>
      <c r="B5598" s="6" t="s">
        <v>5557</v>
      </c>
    </row>
    <row r="5599" spans="1:2" x14ac:dyDescent="0.3">
      <c r="A5599" s="7" t="str">
        <f>HYPERLINK("http://www.eatonpowersource.com/products/configure/industrial%20valves/details/843an00028a","843AN00028A")</f>
        <v>843AN00028A</v>
      </c>
      <c r="B5599" s="8" t="s">
        <v>5558</v>
      </c>
    </row>
    <row r="5600" spans="1:2" x14ac:dyDescent="0.3">
      <c r="A5600" s="5" t="str">
        <f>HYPERLINK("http://www.eatonpowersource.com/products/configure/industrial%20valves/details/843an00035a","843AN00035A")</f>
        <v>843AN00035A</v>
      </c>
      <c r="B5600" s="6" t="s">
        <v>5559</v>
      </c>
    </row>
    <row r="5601" spans="1:2" x14ac:dyDescent="0.3">
      <c r="A5601" s="7" t="str">
        <f>HYPERLINK("http://www.eatonpowersource.com/products/configure/industrial%20valves/details/843an00037a","843AN00037A")</f>
        <v>843AN00037A</v>
      </c>
      <c r="B5601" s="8" t="s">
        <v>5560</v>
      </c>
    </row>
    <row r="5602" spans="1:2" x14ac:dyDescent="0.3">
      <c r="A5602" s="5" t="str">
        <f>HYPERLINK("http://www.eatonpowersource.com/products/configure/industrial%20valves/details/843an00043a","843AN00043A")</f>
        <v>843AN00043A</v>
      </c>
      <c r="B5602" s="6" t="s">
        <v>5561</v>
      </c>
    </row>
    <row r="5603" spans="1:2" x14ac:dyDescent="0.3">
      <c r="A5603" s="7" t="str">
        <f>HYPERLINK("http://www.eatonpowersource.com/products/configure/industrial%20valves/details/851an00006a","851AN00006A")</f>
        <v>851AN00006A</v>
      </c>
      <c r="B5603" s="8" t="s">
        <v>5562</v>
      </c>
    </row>
    <row r="5604" spans="1:2" x14ac:dyDescent="0.3">
      <c r="A5604" s="5" t="str">
        <f>HYPERLINK("http://www.eatonpowersource.com/products/configure/industrial%20valves/details/851an00010a","851AN00010A")</f>
        <v>851AN00010A</v>
      </c>
      <c r="B5604" s="6" t="s">
        <v>5563</v>
      </c>
    </row>
    <row r="5605" spans="1:2" x14ac:dyDescent="0.3">
      <c r="A5605" s="7" t="str">
        <f>HYPERLINK("http://www.eatonpowersource.com/products/configure/industrial%20valves/details/851an00026a","851AN00026A")</f>
        <v>851AN00026A</v>
      </c>
      <c r="B5605" s="8" t="s">
        <v>5564</v>
      </c>
    </row>
    <row r="5606" spans="1:2" x14ac:dyDescent="0.3">
      <c r="A5606" s="5" t="str">
        <f>HYPERLINK("http://www.eatonpowersource.com/products/configure/industrial%20valves/details/851an00055a","851AN00055A")</f>
        <v>851AN00055A</v>
      </c>
      <c r="B5606" s="6" t="s">
        <v>5565</v>
      </c>
    </row>
    <row r="5607" spans="1:2" x14ac:dyDescent="0.3">
      <c r="A5607" s="7" t="str">
        <f>HYPERLINK("http://www.eatonpowersource.com/products/configure/industrial%20valves/details/851an00062a","851AN00062A")</f>
        <v>851AN00062A</v>
      </c>
      <c r="B5607" s="8" t="s">
        <v>5566</v>
      </c>
    </row>
    <row r="5608" spans="1:2" x14ac:dyDescent="0.3">
      <c r="A5608" s="5" t="str">
        <f>HYPERLINK("http://www.eatonpowersource.com/products/configure/industrial%20valves/details/851an00063a","851AN00063A")</f>
        <v>851AN00063A</v>
      </c>
      <c r="B5608" s="6" t="s">
        <v>5567</v>
      </c>
    </row>
    <row r="5609" spans="1:2" x14ac:dyDescent="0.3">
      <c r="A5609" s="7" t="str">
        <f>HYPERLINK("http://www.eatonpowersource.com/products/configure/industrial%20valves/details/851an00076a","851AN00076A")</f>
        <v>851AN00076A</v>
      </c>
      <c r="B5609" s="8" t="s">
        <v>5568</v>
      </c>
    </row>
    <row r="5610" spans="1:2" x14ac:dyDescent="0.3">
      <c r="A5610" s="5" t="str">
        <f>HYPERLINK("http://www.eatonpowersource.com/products/configure/industrial%20valves/details/851an00082a","851AN00082A")</f>
        <v>851AN00082A</v>
      </c>
      <c r="B5610" s="6" t="s">
        <v>5569</v>
      </c>
    </row>
    <row r="5611" spans="1:2" x14ac:dyDescent="0.3">
      <c r="A5611" s="7" t="str">
        <f>HYPERLINK("http://www.eatonpowersource.com/products/configure/industrial%20valves/details/851an00092a","851AN00092A")</f>
        <v>851AN00092A</v>
      </c>
      <c r="B5611" s="8" t="s">
        <v>5570</v>
      </c>
    </row>
    <row r="5612" spans="1:2" x14ac:dyDescent="0.3">
      <c r="A5612" s="5" t="str">
        <f>HYPERLINK("http://www.eatonpowersource.com/products/configure/industrial%20valves/details/851an00093a","851AN00093A")</f>
        <v>851AN00093A</v>
      </c>
      <c r="B5612" s="6" t="s">
        <v>5571</v>
      </c>
    </row>
    <row r="5613" spans="1:2" x14ac:dyDescent="0.3">
      <c r="A5613" s="7" t="str">
        <f>HYPERLINK("http://www.eatonpowersource.com/products/configure/industrial%20valves/details/851an00094a","851AN00094A")</f>
        <v>851AN00094A</v>
      </c>
      <c r="B5613" s="8" t="s">
        <v>5572</v>
      </c>
    </row>
    <row r="5614" spans="1:2" x14ac:dyDescent="0.3">
      <c r="A5614" s="5" t="str">
        <f>HYPERLINK("http://www.eatonpowersource.com/products/configure/industrial%20valves/details/851an00095a","851AN00095A")</f>
        <v>851AN00095A</v>
      </c>
      <c r="B5614" s="6" t="s">
        <v>5573</v>
      </c>
    </row>
    <row r="5615" spans="1:2" x14ac:dyDescent="0.3">
      <c r="A5615" s="7" t="str">
        <f>HYPERLINK("http://www.eatonpowersource.com/products/configure/industrial%20valves/details/851an00096a","851AN00096A")</f>
        <v>851AN00096A</v>
      </c>
      <c r="B5615" s="8" t="s">
        <v>5574</v>
      </c>
    </row>
    <row r="5616" spans="1:2" x14ac:dyDescent="0.3">
      <c r="A5616" s="5" t="str">
        <f>HYPERLINK("http://www.eatonpowersource.com/products/configure/industrial%20valves/details/851an00097a","851AN00097A")</f>
        <v>851AN00097A</v>
      </c>
      <c r="B5616" s="6" t="s">
        <v>5575</v>
      </c>
    </row>
    <row r="5617" spans="1:2" x14ac:dyDescent="0.3">
      <c r="A5617" s="7" t="str">
        <f>HYPERLINK("http://www.eatonpowersource.com/products/configure/industrial%20valves/details/851an00098a","851AN00098A")</f>
        <v>851AN00098A</v>
      </c>
      <c r="B5617" s="8" t="s">
        <v>5576</v>
      </c>
    </row>
    <row r="5618" spans="1:2" x14ac:dyDescent="0.3">
      <c r="A5618" s="5" t="str">
        <f>HYPERLINK("http://www.eatonpowersource.com/products/configure/industrial%20valves/details/851an00099a","851AN00099A")</f>
        <v>851AN00099A</v>
      </c>
      <c r="B5618" s="6" t="s">
        <v>5577</v>
      </c>
    </row>
    <row r="5619" spans="1:2" x14ac:dyDescent="0.3">
      <c r="A5619" s="7" t="str">
        <f>HYPERLINK("http://www.eatonpowersource.com/products/configure/industrial%20valves/details/851an00100a","851AN00100A")</f>
        <v>851AN00100A</v>
      </c>
      <c r="B5619" s="8" t="s">
        <v>5578</v>
      </c>
    </row>
    <row r="5620" spans="1:2" x14ac:dyDescent="0.3">
      <c r="A5620" s="5" t="str">
        <f>HYPERLINK("http://www.eatonpowersource.com/products/configure/industrial%20valves/details/851an00109a","851AN00109A")</f>
        <v>851AN00109A</v>
      </c>
      <c r="B5620" s="6" t="s">
        <v>5579</v>
      </c>
    </row>
    <row r="5621" spans="1:2" x14ac:dyDescent="0.3">
      <c r="A5621" s="7" t="str">
        <f>HYPERLINK("http://www.eatonpowersource.com/products/configure/industrial%20valves/details/851an00110a","851AN00110A")</f>
        <v>851AN00110A</v>
      </c>
      <c r="B5621" s="8" t="s">
        <v>5580</v>
      </c>
    </row>
    <row r="5622" spans="1:2" x14ac:dyDescent="0.3">
      <c r="A5622" s="5" t="str">
        <f>HYPERLINK("http://www.eatonpowersource.com/products/configure/industrial%20valves/details/851an00111a","851AN00111A")</f>
        <v>851AN00111A</v>
      </c>
      <c r="B5622" s="6" t="s">
        <v>5581</v>
      </c>
    </row>
    <row r="5623" spans="1:2" x14ac:dyDescent="0.3">
      <c r="A5623" s="7" t="str">
        <f>HYPERLINK("http://www.eatonpowersource.com/products/configure/industrial%20valves/details/859159","859159")</f>
        <v>859159</v>
      </c>
      <c r="B5623" s="8" t="s">
        <v>5582</v>
      </c>
    </row>
    <row r="5624" spans="1:2" x14ac:dyDescent="0.3">
      <c r="A5624" s="5" t="str">
        <f>HYPERLINK("http://www.eatonpowersource.com/products/configure/industrial%20valves/details/859160","859160")</f>
        <v>859160</v>
      </c>
      <c r="B5624" s="6" t="s">
        <v>5583</v>
      </c>
    </row>
    <row r="5625" spans="1:2" x14ac:dyDescent="0.3">
      <c r="A5625" s="7" t="str">
        <f>HYPERLINK("http://www.eatonpowersource.com/products/configure/industrial%20valves/details/859161","859161")</f>
        <v>859161</v>
      </c>
      <c r="B5625" s="8" t="s">
        <v>5584</v>
      </c>
    </row>
    <row r="5626" spans="1:2" x14ac:dyDescent="0.3">
      <c r="A5626" s="5" t="str">
        <f>HYPERLINK("http://www.eatonpowersource.com/products/configure/industrial%20valves/details/859162","859162")</f>
        <v>859162</v>
      </c>
      <c r="B5626" s="6" t="s">
        <v>5585</v>
      </c>
    </row>
    <row r="5627" spans="1:2" x14ac:dyDescent="0.3">
      <c r="A5627" s="7" t="str">
        <f>HYPERLINK("http://www.eatonpowersource.com/products/configure/industrial%20valves/details/859163","859163")</f>
        <v>859163</v>
      </c>
      <c r="B5627" s="8" t="s">
        <v>5586</v>
      </c>
    </row>
    <row r="5628" spans="1:2" x14ac:dyDescent="0.3">
      <c r="A5628" s="5" t="str">
        <f>HYPERLINK("http://www.eatonpowersource.com/products/configure/industrial%20valves/details/859164","859164")</f>
        <v>859164</v>
      </c>
      <c r="B5628" s="6" t="s">
        <v>5587</v>
      </c>
    </row>
    <row r="5629" spans="1:2" x14ac:dyDescent="0.3">
      <c r="A5629" s="7" t="str">
        <f>HYPERLINK("http://www.eatonpowersource.com/products/configure/industrial%20valves/details/859165","859165")</f>
        <v>859165</v>
      </c>
      <c r="B5629" s="8" t="s">
        <v>5588</v>
      </c>
    </row>
    <row r="5630" spans="1:2" x14ac:dyDescent="0.3">
      <c r="A5630" s="5" t="str">
        <f>HYPERLINK("http://www.eatonpowersource.com/products/configure/industrial%20valves/details/859168","859168")</f>
        <v>859168</v>
      </c>
      <c r="B5630" s="6" t="s">
        <v>5589</v>
      </c>
    </row>
    <row r="5631" spans="1:2" x14ac:dyDescent="0.3">
      <c r="A5631" s="7" t="str">
        <f>HYPERLINK("http://www.eatonpowersource.com/products/configure/industrial%20valves/details/859170","859170")</f>
        <v>859170</v>
      </c>
      <c r="B5631" s="8" t="s">
        <v>5590</v>
      </c>
    </row>
    <row r="5632" spans="1:2" x14ac:dyDescent="0.3">
      <c r="A5632" s="5" t="str">
        <f>HYPERLINK("http://www.eatonpowersource.com/products/configure/industrial%20valves/details/859171","859171")</f>
        <v>859171</v>
      </c>
      <c r="B5632" s="6" t="s">
        <v>5591</v>
      </c>
    </row>
    <row r="5633" spans="1:2" x14ac:dyDescent="0.3">
      <c r="A5633" s="7" t="str">
        <f>HYPERLINK("http://www.eatonpowersource.com/products/configure/industrial%20valves/details/859172","859172")</f>
        <v>859172</v>
      </c>
      <c r="B5633" s="8" t="s">
        <v>5592</v>
      </c>
    </row>
    <row r="5634" spans="1:2" x14ac:dyDescent="0.3">
      <c r="A5634" s="5" t="str">
        <f>HYPERLINK("http://www.eatonpowersource.com/products/configure/industrial%20valves/details/859173","859173")</f>
        <v>859173</v>
      </c>
      <c r="B5634" s="6" t="s">
        <v>5593</v>
      </c>
    </row>
    <row r="5635" spans="1:2" x14ac:dyDescent="0.3">
      <c r="A5635" s="7" t="str">
        <f>HYPERLINK("http://www.eatonpowersource.com/products/configure/industrial%20valves/details/859175","859175")</f>
        <v>859175</v>
      </c>
      <c r="B5635" s="8" t="s">
        <v>5594</v>
      </c>
    </row>
    <row r="5636" spans="1:2" x14ac:dyDescent="0.3">
      <c r="A5636" s="5" t="str">
        <f>HYPERLINK("http://www.eatonpowersource.com/products/configure/industrial%20valves/details/859176","859176")</f>
        <v>859176</v>
      </c>
      <c r="B5636" s="6" t="s">
        <v>5595</v>
      </c>
    </row>
    <row r="5637" spans="1:2" x14ac:dyDescent="0.3">
      <c r="A5637" s="7" t="str">
        <f>HYPERLINK("http://www.eatonpowersource.com/products/configure/industrial%20valves/details/859177","859177")</f>
        <v>859177</v>
      </c>
      <c r="B5637" s="8" t="s">
        <v>5596</v>
      </c>
    </row>
    <row r="5638" spans="1:2" x14ac:dyDescent="0.3">
      <c r="A5638" s="5" t="str">
        <f>HYPERLINK("http://www.eatonpowersource.com/products/configure/industrial%20valves/details/859179","859179")</f>
        <v>859179</v>
      </c>
      <c r="B5638" s="6" t="s">
        <v>5597</v>
      </c>
    </row>
    <row r="5639" spans="1:2" x14ac:dyDescent="0.3">
      <c r="A5639" s="7" t="str">
        <f>HYPERLINK("http://www.eatonpowersource.com/products/configure/industrial%20valves/details/859180","859180")</f>
        <v>859180</v>
      </c>
      <c r="B5639" s="8" t="s">
        <v>5598</v>
      </c>
    </row>
    <row r="5640" spans="1:2" x14ac:dyDescent="0.3">
      <c r="A5640" s="5" t="str">
        <f>HYPERLINK("http://www.eatonpowersource.com/products/configure/industrial%20valves/details/859181","859181")</f>
        <v>859181</v>
      </c>
      <c r="B5640" s="6" t="s">
        <v>5599</v>
      </c>
    </row>
    <row r="5641" spans="1:2" x14ac:dyDescent="0.3">
      <c r="A5641" s="7" t="str">
        <f>HYPERLINK("http://www.eatonpowersource.com/products/configure/industrial%20valves/details/859183","859183")</f>
        <v>859183</v>
      </c>
      <c r="B5641" s="8" t="s">
        <v>5600</v>
      </c>
    </row>
    <row r="5642" spans="1:2" x14ac:dyDescent="0.3">
      <c r="A5642" s="5" t="str">
        <f>HYPERLINK("http://www.eatonpowersource.com/products/configure/industrial%20valves/details/859184","859184")</f>
        <v>859184</v>
      </c>
      <c r="B5642" s="6" t="s">
        <v>5601</v>
      </c>
    </row>
    <row r="5643" spans="1:2" x14ac:dyDescent="0.3">
      <c r="A5643" s="7" t="str">
        <f>HYPERLINK("http://www.eatonpowersource.com/products/configure/industrial%20valves/details/859188","859188")</f>
        <v>859188</v>
      </c>
      <c r="B5643" s="8" t="s">
        <v>5602</v>
      </c>
    </row>
    <row r="5644" spans="1:2" x14ac:dyDescent="0.3">
      <c r="A5644" s="5" t="str">
        <f>HYPERLINK("http://www.eatonpowersource.com/products/configure/industrial%20valves/details/859189","859189")</f>
        <v>859189</v>
      </c>
      <c r="B5644" s="6" t="s">
        <v>5603</v>
      </c>
    </row>
    <row r="5645" spans="1:2" x14ac:dyDescent="0.3">
      <c r="A5645" s="7" t="str">
        <f>HYPERLINK("http://www.eatonpowersource.com/products/configure/industrial%20valves/details/859190","859190")</f>
        <v>859190</v>
      </c>
      <c r="B5645" s="8" t="s">
        <v>5604</v>
      </c>
    </row>
    <row r="5646" spans="1:2" x14ac:dyDescent="0.3">
      <c r="A5646" s="5" t="str">
        <f>HYPERLINK("http://www.eatonpowersource.com/products/configure/industrial%20valves/details/859191","859191")</f>
        <v>859191</v>
      </c>
      <c r="B5646" s="6" t="s">
        <v>5605</v>
      </c>
    </row>
    <row r="5647" spans="1:2" x14ac:dyDescent="0.3">
      <c r="A5647" s="7" t="str">
        <f>HYPERLINK("http://www.eatonpowersource.com/products/configure/industrial%20valves/details/859192","859192")</f>
        <v>859192</v>
      </c>
      <c r="B5647" s="8" t="s">
        <v>5606</v>
      </c>
    </row>
    <row r="5648" spans="1:2" x14ac:dyDescent="0.3">
      <c r="A5648" s="5" t="str">
        <f>HYPERLINK("http://www.eatonpowersource.com/products/configure/industrial%20valves/details/859193","859193")</f>
        <v>859193</v>
      </c>
      <c r="B5648" s="6" t="s">
        <v>5607</v>
      </c>
    </row>
    <row r="5649" spans="1:2" x14ac:dyDescent="0.3">
      <c r="A5649" s="7" t="str">
        <f>HYPERLINK("http://www.eatonpowersource.com/products/configure/industrial%20valves/details/859195","859195")</f>
        <v>859195</v>
      </c>
      <c r="B5649" s="8" t="s">
        <v>5608</v>
      </c>
    </row>
    <row r="5650" spans="1:2" x14ac:dyDescent="0.3">
      <c r="A5650" s="5" t="str">
        <f>HYPERLINK("http://www.eatonpowersource.com/products/configure/industrial%20valves/details/859196","859196")</f>
        <v>859196</v>
      </c>
      <c r="B5650" s="6" t="s">
        <v>5609</v>
      </c>
    </row>
    <row r="5651" spans="1:2" x14ac:dyDescent="0.3">
      <c r="A5651" s="7" t="str">
        <f>HYPERLINK("http://www.eatonpowersource.com/products/configure/industrial%20valves/details/859197","859197")</f>
        <v>859197</v>
      </c>
      <c r="B5651" s="8" t="s">
        <v>5610</v>
      </c>
    </row>
    <row r="5652" spans="1:2" x14ac:dyDescent="0.3">
      <c r="A5652" s="5" t="str">
        <f>HYPERLINK("http://www.eatonpowersource.com/products/configure/industrial%20valves/details/859198","859198")</f>
        <v>859198</v>
      </c>
      <c r="B5652" s="6" t="s">
        <v>5611</v>
      </c>
    </row>
    <row r="5653" spans="1:2" x14ac:dyDescent="0.3">
      <c r="A5653" s="7" t="str">
        <f>HYPERLINK("http://www.eatonpowersource.com/products/configure/industrial%20valves/details/859199","859199")</f>
        <v>859199</v>
      </c>
      <c r="B5653" s="8" t="s">
        <v>5612</v>
      </c>
    </row>
    <row r="5654" spans="1:2" x14ac:dyDescent="0.3">
      <c r="A5654" s="5" t="str">
        <f>HYPERLINK("http://www.eatonpowersource.com/products/configure/industrial%20valves/details/859200","859200")</f>
        <v>859200</v>
      </c>
      <c r="B5654" s="6" t="s">
        <v>5613</v>
      </c>
    </row>
    <row r="5655" spans="1:2" x14ac:dyDescent="0.3">
      <c r="A5655" s="7" t="str">
        <f>HYPERLINK("http://www.eatonpowersource.com/products/configure/industrial%20valves/details/859201","859201")</f>
        <v>859201</v>
      </c>
      <c r="B5655" s="8" t="s">
        <v>5614</v>
      </c>
    </row>
    <row r="5656" spans="1:2" x14ac:dyDescent="0.3">
      <c r="A5656" s="5" t="str">
        <f>HYPERLINK("http://www.eatonpowersource.com/products/configure/industrial%20valves/details/859202","859202")</f>
        <v>859202</v>
      </c>
      <c r="B5656" s="6" t="s">
        <v>5615</v>
      </c>
    </row>
    <row r="5657" spans="1:2" x14ac:dyDescent="0.3">
      <c r="A5657" s="7" t="str">
        <f>HYPERLINK("http://www.eatonpowersource.com/products/configure/industrial%20valves/details/859203","859203")</f>
        <v>859203</v>
      </c>
      <c r="B5657" s="8" t="s">
        <v>5616</v>
      </c>
    </row>
    <row r="5658" spans="1:2" x14ac:dyDescent="0.3">
      <c r="A5658" s="5" t="str">
        <f>HYPERLINK("http://www.eatonpowersource.com/products/configure/industrial%20valves/details/859204","859204")</f>
        <v>859204</v>
      </c>
      <c r="B5658" s="6" t="s">
        <v>5617</v>
      </c>
    </row>
    <row r="5659" spans="1:2" x14ac:dyDescent="0.3">
      <c r="A5659" s="7" t="str">
        <f>HYPERLINK("http://www.eatonpowersource.com/products/configure/industrial%20valves/details/859206","859206")</f>
        <v>859206</v>
      </c>
      <c r="B5659" s="8" t="s">
        <v>5618</v>
      </c>
    </row>
    <row r="5660" spans="1:2" x14ac:dyDescent="0.3">
      <c r="A5660" s="5" t="str">
        <f>HYPERLINK("http://www.eatonpowersource.com/products/configure/industrial%20valves/details/859207","859207")</f>
        <v>859207</v>
      </c>
      <c r="B5660" s="6" t="s">
        <v>5619</v>
      </c>
    </row>
    <row r="5661" spans="1:2" x14ac:dyDescent="0.3">
      <c r="A5661" s="7" t="str">
        <f>HYPERLINK("http://www.eatonpowersource.com/products/configure/industrial%20valves/details/859208","859208")</f>
        <v>859208</v>
      </c>
      <c r="B5661" s="8" t="s">
        <v>5620</v>
      </c>
    </row>
    <row r="5662" spans="1:2" x14ac:dyDescent="0.3">
      <c r="A5662" s="5" t="str">
        <f>HYPERLINK("http://www.eatonpowersource.com/products/configure/industrial%20valves/details/859209","859209")</f>
        <v>859209</v>
      </c>
      <c r="B5662" s="6" t="s">
        <v>5621</v>
      </c>
    </row>
    <row r="5663" spans="1:2" x14ac:dyDescent="0.3">
      <c r="A5663" s="7" t="str">
        <f>HYPERLINK("http://www.eatonpowersource.com/products/configure/industrial%20valves/details/859210","859210")</f>
        <v>859210</v>
      </c>
      <c r="B5663" s="8" t="s">
        <v>5622</v>
      </c>
    </row>
    <row r="5664" spans="1:2" x14ac:dyDescent="0.3">
      <c r="A5664" s="5" t="str">
        <f>HYPERLINK("http://www.eatonpowersource.com/products/configure/industrial%20valves/details/859211","859211")</f>
        <v>859211</v>
      </c>
      <c r="B5664" s="6" t="s">
        <v>5623</v>
      </c>
    </row>
    <row r="5665" spans="1:2" x14ac:dyDescent="0.3">
      <c r="A5665" s="7" t="str">
        <f>HYPERLINK("http://www.eatonpowersource.com/products/configure/industrial%20valves/details/859212","859212")</f>
        <v>859212</v>
      </c>
      <c r="B5665" s="8" t="s">
        <v>5624</v>
      </c>
    </row>
    <row r="5666" spans="1:2" x14ac:dyDescent="0.3">
      <c r="A5666" s="5" t="str">
        <f>HYPERLINK("http://www.eatonpowersource.com/products/configure/industrial%20valves/details/859213","859213")</f>
        <v>859213</v>
      </c>
      <c r="B5666" s="6" t="s">
        <v>5625</v>
      </c>
    </row>
    <row r="5667" spans="1:2" x14ac:dyDescent="0.3">
      <c r="A5667" s="7" t="str">
        <f>HYPERLINK("http://www.eatonpowersource.com/products/configure/industrial%20valves/details/859214","859214")</f>
        <v>859214</v>
      </c>
      <c r="B5667" s="8" t="s">
        <v>5626</v>
      </c>
    </row>
    <row r="5668" spans="1:2" x14ac:dyDescent="0.3">
      <c r="A5668" s="5" t="str">
        <f>HYPERLINK("http://www.eatonpowersource.com/products/configure/industrial%20valves/details/859215","859215")</f>
        <v>859215</v>
      </c>
      <c r="B5668" s="6" t="s">
        <v>5627</v>
      </c>
    </row>
    <row r="5669" spans="1:2" x14ac:dyDescent="0.3">
      <c r="A5669" s="7" t="str">
        <f>HYPERLINK("http://www.eatonpowersource.com/products/configure/industrial%20valves/details/859220","859220")</f>
        <v>859220</v>
      </c>
      <c r="B5669" s="8" t="s">
        <v>5628</v>
      </c>
    </row>
    <row r="5670" spans="1:2" x14ac:dyDescent="0.3">
      <c r="A5670" s="5" t="str">
        <f>HYPERLINK("http://www.eatonpowersource.com/products/configure/industrial%20valves/details/859255","859255")</f>
        <v>859255</v>
      </c>
      <c r="B5670" s="6" t="s">
        <v>5629</v>
      </c>
    </row>
    <row r="5671" spans="1:2" x14ac:dyDescent="0.3">
      <c r="A5671" s="7" t="str">
        <f>HYPERLINK("http://www.eatonpowersource.com/products/configure/industrial%20valves/details/859256","859256")</f>
        <v>859256</v>
      </c>
      <c r="B5671" s="8" t="s">
        <v>5630</v>
      </c>
    </row>
    <row r="5672" spans="1:2" x14ac:dyDescent="0.3">
      <c r="A5672" s="5" t="str">
        <f>HYPERLINK("http://www.eatonpowersource.com/products/configure/industrial%20valves/details/859293","859293")</f>
        <v>859293</v>
      </c>
      <c r="B5672" s="6" t="s">
        <v>5631</v>
      </c>
    </row>
    <row r="5673" spans="1:2" x14ac:dyDescent="0.3">
      <c r="A5673" s="7" t="str">
        <f>HYPERLINK("http://www.eatonpowersource.com/products/configure/industrial%20valves/details/859477","859477")</f>
        <v>859477</v>
      </c>
      <c r="B5673" s="8" t="s">
        <v>5632</v>
      </c>
    </row>
    <row r="5674" spans="1:2" x14ac:dyDescent="0.3">
      <c r="A5674" s="5" t="str">
        <f>HYPERLINK("http://www.eatonpowersource.com/products/configure/industrial%20valves/details/859478","859478")</f>
        <v>859478</v>
      </c>
      <c r="B5674" s="6" t="s">
        <v>5633</v>
      </c>
    </row>
    <row r="5675" spans="1:2" x14ac:dyDescent="0.3">
      <c r="A5675" s="7" t="str">
        <f>HYPERLINK("http://www.eatonpowersource.com/products/configure/industrial%20valves/details/859479","859479")</f>
        <v>859479</v>
      </c>
      <c r="B5675" s="8" t="s">
        <v>5634</v>
      </c>
    </row>
    <row r="5676" spans="1:2" x14ac:dyDescent="0.3">
      <c r="A5676" s="5" t="str">
        <f>HYPERLINK("http://www.eatonpowersource.com/products/configure/industrial%20valves/details/859480","859480")</f>
        <v>859480</v>
      </c>
      <c r="B5676" s="6" t="s">
        <v>5635</v>
      </c>
    </row>
    <row r="5677" spans="1:2" x14ac:dyDescent="0.3">
      <c r="A5677" s="7" t="str">
        <f>HYPERLINK("http://www.eatonpowersource.com/products/configure/industrial%20valves/details/859481","859481")</f>
        <v>859481</v>
      </c>
      <c r="B5677" s="8" t="s">
        <v>5636</v>
      </c>
    </row>
    <row r="5678" spans="1:2" x14ac:dyDescent="0.3">
      <c r="A5678" s="5" t="str">
        <f>HYPERLINK("http://www.eatonpowersource.com/products/configure/industrial%20valves/details/859482","859482")</f>
        <v>859482</v>
      </c>
      <c r="B5678" s="6" t="s">
        <v>5637</v>
      </c>
    </row>
    <row r="5679" spans="1:2" x14ac:dyDescent="0.3">
      <c r="A5679" s="7" t="str">
        <f>HYPERLINK("http://www.eatonpowersource.com/products/configure/industrial%20valves/details/859484","859484")</f>
        <v>859484</v>
      </c>
      <c r="B5679" s="8" t="s">
        <v>5638</v>
      </c>
    </row>
    <row r="5680" spans="1:2" x14ac:dyDescent="0.3">
      <c r="A5680" s="5" t="str">
        <f>HYPERLINK("http://www.eatonpowersource.com/products/configure/industrial%20valves/details/859485","859485")</f>
        <v>859485</v>
      </c>
      <c r="B5680" s="6" t="s">
        <v>5639</v>
      </c>
    </row>
    <row r="5681" spans="1:2" x14ac:dyDescent="0.3">
      <c r="A5681" s="7" t="str">
        <f>HYPERLINK("http://www.eatonpowersource.com/products/configure/industrial%20valves/details/859486","859486")</f>
        <v>859486</v>
      </c>
      <c r="B5681" s="8" t="s">
        <v>5640</v>
      </c>
    </row>
    <row r="5682" spans="1:2" x14ac:dyDescent="0.3">
      <c r="A5682" s="5" t="str">
        <f>HYPERLINK("http://www.eatonpowersource.com/products/configure/industrial%20valves/details/859487","859487")</f>
        <v>859487</v>
      </c>
      <c r="B5682" s="6" t="s">
        <v>5641</v>
      </c>
    </row>
    <row r="5683" spans="1:2" x14ac:dyDescent="0.3">
      <c r="A5683" s="7" t="str">
        <f>HYPERLINK("http://www.eatonpowersource.com/products/configure/industrial%20valves/details/859488","859488")</f>
        <v>859488</v>
      </c>
      <c r="B5683" s="8" t="s">
        <v>5642</v>
      </c>
    </row>
    <row r="5684" spans="1:2" x14ac:dyDescent="0.3">
      <c r="A5684" s="5" t="str">
        <f>HYPERLINK("http://www.eatonpowersource.com/products/configure/industrial%20valves/details/859490","859490")</f>
        <v>859490</v>
      </c>
      <c r="B5684" s="6" t="s">
        <v>5643</v>
      </c>
    </row>
    <row r="5685" spans="1:2" x14ac:dyDescent="0.3">
      <c r="A5685" s="7" t="str">
        <f>HYPERLINK("http://www.eatonpowersource.com/products/configure/industrial%20valves/details/859724","859724")</f>
        <v>859724</v>
      </c>
      <c r="B5685" s="8" t="s">
        <v>5644</v>
      </c>
    </row>
    <row r="5686" spans="1:2" x14ac:dyDescent="0.3">
      <c r="A5686" s="5" t="str">
        <f>HYPERLINK("http://www.eatonpowersource.com/products/configure/industrial%20valves/details/859726","859726")</f>
        <v>859726</v>
      </c>
      <c r="B5686" s="6" t="s">
        <v>5645</v>
      </c>
    </row>
    <row r="5687" spans="1:2" x14ac:dyDescent="0.3">
      <c r="A5687" s="7" t="str">
        <f>HYPERLINK("http://www.eatonpowersource.com/products/configure/industrial%20valves/details/859822","859822")</f>
        <v>859822</v>
      </c>
      <c r="B5687" s="8" t="s">
        <v>5646</v>
      </c>
    </row>
    <row r="5688" spans="1:2" x14ac:dyDescent="0.3">
      <c r="A5688" s="5" t="str">
        <f>HYPERLINK("http://www.eatonpowersource.com/products/configure/industrial%20valves/details/859823","859823")</f>
        <v>859823</v>
      </c>
      <c r="B5688" s="6" t="s">
        <v>5647</v>
      </c>
    </row>
    <row r="5689" spans="1:2" x14ac:dyDescent="0.3">
      <c r="A5689" s="7" t="str">
        <f>HYPERLINK("http://www.eatonpowersource.com/products/configure/industrial%20valves/details/869562","869562")</f>
        <v>869562</v>
      </c>
      <c r="B5689" s="8" t="s">
        <v>5648</v>
      </c>
    </row>
    <row r="5690" spans="1:2" x14ac:dyDescent="0.3">
      <c r="A5690" s="5" t="str">
        <f>HYPERLINK("http://www.eatonpowersource.com/products/configure/industrial%20valves/details/869563","869563")</f>
        <v>869563</v>
      </c>
      <c r="B5690" s="6" t="s">
        <v>5649</v>
      </c>
    </row>
    <row r="5691" spans="1:2" x14ac:dyDescent="0.3">
      <c r="A5691" s="7" t="str">
        <f>HYPERLINK("http://www.eatonpowersource.com/products/configure/industrial%20valves/details/869569","869569")</f>
        <v>869569</v>
      </c>
      <c r="B5691" s="8" t="s">
        <v>5650</v>
      </c>
    </row>
    <row r="5692" spans="1:2" x14ac:dyDescent="0.3">
      <c r="A5692" s="5" t="str">
        <f>HYPERLINK("http://www.eatonpowersource.com/products/configure/industrial%20valves/details/869571","869571")</f>
        <v>869571</v>
      </c>
      <c r="B5692" s="6" t="s">
        <v>5651</v>
      </c>
    </row>
    <row r="5693" spans="1:2" x14ac:dyDescent="0.3">
      <c r="A5693" s="7" t="str">
        <f>HYPERLINK("http://www.eatonpowersource.com/products/configure/industrial%20valves/details/869573","869573")</f>
        <v>869573</v>
      </c>
      <c r="B5693" s="8" t="s">
        <v>5652</v>
      </c>
    </row>
    <row r="5694" spans="1:2" x14ac:dyDescent="0.3">
      <c r="A5694" s="5" t="str">
        <f>HYPERLINK("http://www.eatonpowersource.com/products/configure/industrial%20valves/details/869574","869574")</f>
        <v>869574</v>
      </c>
      <c r="B5694" s="6" t="s">
        <v>5653</v>
      </c>
    </row>
    <row r="5695" spans="1:2" x14ac:dyDescent="0.3">
      <c r="A5695" s="7" t="str">
        <f>HYPERLINK("http://www.eatonpowersource.com/products/configure/industrial%20valves/details/869575","869575")</f>
        <v>869575</v>
      </c>
      <c r="B5695" s="8" t="s">
        <v>5654</v>
      </c>
    </row>
    <row r="5696" spans="1:2" x14ac:dyDescent="0.3">
      <c r="A5696" s="5" t="str">
        <f>HYPERLINK("http://www.eatonpowersource.com/products/configure/industrial%20valves/details/869576","869576")</f>
        <v>869576</v>
      </c>
      <c r="B5696" s="6" t="s">
        <v>5655</v>
      </c>
    </row>
    <row r="5697" spans="1:2" x14ac:dyDescent="0.3">
      <c r="A5697" s="7" t="str">
        <f>HYPERLINK("http://www.eatonpowersource.com/products/configure/industrial%20valves/details/869777","869777")</f>
        <v>869777</v>
      </c>
      <c r="B5697" s="8" t="s">
        <v>5656</v>
      </c>
    </row>
    <row r="5698" spans="1:2" x14ac:dyDescent="0.3">
      <c r="A5698" s="5" t="str">
        <f>HYPERLINK("http://www.eatonpowersource.com/products/configure/industrial%20valves/details/869858","869858")</f>
        <v>869858</v>
      </c>
      <c r="B5698" s="6" t="s">
        <v>5657</v>
      </c>
    </row>
    <row r="5699" spans="1:2" x14ac:dyDescent="0.3">
      <c r="A5699" s="7" t="str">
        <f>HYPERLINK("http://www.eatonpowersource.com/products/configure/industrial%20valves/details/869860","869860")</f>
        <v>869860</v>
      </c>
      <c r="B5699" s="8" t="s">
        <v>5658</v>
      </c>
    </row>
    <row r="5700" spans="1:2" x14ac:dyDescent="0.3">
      <c r="A5700" s="5" t="str">
        <f>HYPERLINK("http://www.eatonpowersource.com/products/configure/industrial%20valves/details/869861","869861")</f>
        <v>869861</v>
      </c>
      <c r="B5700" s="6" t="s">
        <v>5659</v>
      </c>
    </row>
    <row r="5701" spans="1:2" x14ac:dyDescent="0.3">
      <c r="A5701" s="7" t="str">
        <f>HYPERLINK("http://www.eatonpowersource.com/products/configure/industrial%20valves/details/869879","869879")</f>
        <v>869879</v>
      </c>
      <c r="B5701" s="8" t="s">
        <v>5660</v>
      </c>
    </row>
    <row r="5702" spans="1:2" x14ac:dyDescent="0.3">
      <c r="A5702" s="5" t="str">
        <f>HYPERLINK("http://www.eatonpowersource.com/products/configure/industrial%20valves/details/869935","869935")</f>
        <v>869935</v>
      </c>
      <c r="B5702" s="6" t="s">
        <v>5661</v>
      </c>
    </row>
    <row r="5703" spans="1:2" x14ac:dyDescent="0.3">
      <c r="A5703" s="7" t="str">
        <f>HYPERLINK("http://www.eatonpowersource.com/products/configure/industrial%20valves/details/869939","869939")</f>
        <v>869939</v>
      </c>
      <c r="B5703" s="8" t="s">
        <v>5662</v>
      </c>
    </row>
    <row r="5704" spans="1:2" x14ac:dyDescent="0.3">
      <c r="A5704" s="5" t="str">
        <f>HYPERLINK("http://www.eatonpowersource.com/products/configure/industrial%20valves/details/869944","869944")</f>
        <v>869944</v>
      </c>
      <c r="B5704" s="6" t="s">
        <v>5663</v>
      </c>
    </row>
    <row r="5705" spans="1:2" x14ac:dyDescent="0.3">
      <c r="A5705" s="7" t="str">
        <f>HYPERLINK("http://www.eatonpowersource.com/products/configure/industrial%20valves/details/869950","869950")</f>
        <v>869950</v>
      </c>
      <c r="B5705" s="8" t="s">
        <v>5664</v>
      </c>
    </row>
    <row r="5706" spans="1:2" x14ac:dyDescent="0.3">
      <c r="A5706" s="5" t="str">
        <f>HYPERLINK("http://www.eatonpowersource.com/products/configure/industrial%20valves/details/869951","869951")</f>
        <v>869951</v>
      </c>
      <c r="B5706" s="6" t="s">
        <v>5665</v>
      </c>
    </row>
    <row r="5707" spans="1:2" x14ac:dyDescent="0.3">
      <c r="A5707" s="7" t="str">
        <f>HYPERLINK("http://www.eatonpowersource.com/products/configure/industrial%20valves/details/869952","869952")</f>
        <v>869952</v>
      </c>
      <c r="B5707" s="8" t="s">
        <v>5666</v>
      </c>
    </row>
    <row r="5708" spans="1:2" x14ac:dyDescent="0.3">
      <c r="A5708" s="5" t="str">
        <f>HYPERLINK("http://www.eatonpowersource.com/products/configure/industrial%20valves/details/869953","869953")</f>
        <v>869953</v>
      </c>
      <c r="B5708" s="6" t="s">
        <v>5667</v>
      </c>
    </row>
    <row r="5709" spans="1:2" x14ac:dyDescent="0.3">
      <c r="A5709" s="7" t="str">
        <f>HYPERLINK("http://www.eatonpowersource.com/products/configure/industrial%20valves/details/869957","869957")</f>
        <v>869957</v>
      </c>
      <c r="B5709" s="8" t="s">
        <v>5668</v>
      </c>
    </row>
    <row r="5710" spans="1:2" x14ac:dyDescent="0.3">
      <c r="A5710" s="5" t="str">
        <f>HYPERLINK("http://www.eatonpowersource.com/products/configure/industrial%20valves/details/869958","869958")</f>
        <v>869958</v>
      </c>
      <c r="B5710" s="6" t="s">
        <v>5669</v>
      </c>
    </row>
    <row r="5711" spans="1:2" x14ac:dyDescent="0.3">
      <c r="A5711" s="7" t="str">
        <f>HYPERLINK("http://www.eatonpowersource.com/products/configure/industrial%20valves/details/869959","869959")</f>
        <v>869959</v>
      </c>
      <c r="B5711" s="8" t="s">
        <v>5670</v>
      </c>
    </row>
    <row r="5712" spans="1:2" x14ac:dyDescent="0.3">
      <c r="A5712" s="5" t="str">
        <f>HYPERLINK("http://www.eatonpowersource.com/products/configure/industrial%20valves/details/869960","869960")</f>
        <v>869960</v>
      </c>
      <c r="B5712" s="6" t="s">
        <v>5671</v>
      </c>
    </row>
    <row r="5713" spans="1:2" x14ac:dyDescent="0.3">
      <c r="A5713" s="7" t="str">
        <f>HYPERLINK("http://www.eatonpowersource.com/products/configure/industrial%20valves/details/869961","869961")</f>
        <v>869961</v>
      </c>
      <c r="B5713" s="8" t="s">
        <v>5672</v>
      </c>
    </row>
    <row r="5714" spans="1:2" x14ac:dyDescent="0.3">
      <c r="A5714" s="5" t="str">
        <f>HYPERLINK("http://www.eatonpowersource.com/products/configure/industrial%20valves/details/869962","869962")</f>
        <v>869962</v>
      </c>
      <c r="B5714" s="6" t="s">
        <v>5673</v>
      </c>
    </row>
    <row r="5715" spans="1:2" x14ac:dyDescent="0.3">
      <c r="A5715" s="7" t="str">
        <f>HYPERLINK("http://www.eatonpowersource.com/products/configure/industrial%20valves/details/869963","869963")</f>
        <v>869963</v>
      </c>
      <c r="B5715" s="8" t="s">
        <v>5674</v>
      </c>
    </row>
    <row r="5716" spans="1:2" x14ac:dyDescent="0.3">
      <c r="A5716" s="5" t="str">
        <f>HYPERLINK("http://www.eatonpowersource.com/products/configure/industrial%20valves/details/869974","869974")</f>
        <v>869974</v>
      </c>
      <c r="B5716" s="6" t="s">
        <v>5675</v>
      </c>
    </row>
    <row r="5717" spans="1:2" x14ac:dyDescent="0.3">
      <c r="A5717" s="7" t="str">
        <f>HYPERLINK("http://www.eatonpowersource.com/products/configure/industrial%20valves/details/869976","869976")</f>
        <v>869976</v>
      </c>
      <c r="B5717" s="8" t="s">
        <v>5676</v>
      </c>
    </row>
    <row r="5718" spans="1:2" x14ac:dyDescent="0.3">
      <c r="A5718" s="5" t="str">
        <f>HYPERLINK("http://www.eatonpowersource.com/products/configure/industrial%20valves/details/869977","869977")</f>
        <v>869977</v>
      </c>
      <c r="B5718" s="6" t="s">
        <v>5677</v>
      </c>
    </row>
    <row r="5719" spans="1:2" x14ac:dyDescent="0.3">
      <c r="A5719" s="7" t="str">
        <f>HYPERLINK("http://www.eatonpowersource.com/products/configure/industrial%20valves/details/869980","869980")</f>
        <v>869980</v>
      </c>
      <c r="B5719" s="8" t="s">
        <v>5678</v>
      </c>
    </row>
    <row r="5720" spans="1:2" x14ac:dyDescent="0.3">
      <c r="A5720" s="5" t="str">
        <f>HYPERLINK("http://www.eatonpowersource.com/products/configure/industrial%20valves/details/869981","869981")</f>
        <v>869981</v>
      </c>
      <c r="B5720" s="6" t="s">
        <v>5679</v>
      </c>
    </row>
    <row r="5721" spans="1:2" x14ac:dyDescent="0.3">
      <c r="A5721" s="7" t="str">
        <f>HYPERLINK("http://www.eatonpowersource.com/products/configure/industrial%20valves/details/869982","869982")</f>
        <v>869982</v>
      </c>
      <c r="B5721" s="8" t="s">
        <v>5680</v>
      </c>
    </row>
    <row r="5722" spans="1:2" x14ac:dyDescent="0.3">
      <c r="A5722" s="5" t="str">
        <f>HYPERLINK("http://www.eatonpowersource.com/products/configure/industrial%20valves/details/869983","869983")</f>
        <v>869983</v>
      </c>
      <c r="B5722" s="6" t="s">
        <v>5681</v>
      </c>
    </row>
    <row r="5723" spans="1:2" x14ac:dyDescent="0.3">
      <c r="A5723" s="7" t="str">
        <f>HYPERLINK("http://www.eatonpowersource.com/products/configure/industrial%20valves/details/869984","869984")</f>
        <v>869984</v>
      </c>
      <c r="B5723" s="8" t="s">
        <v>5682</v>
      </c>
    </row>
    <row r="5724" spans="1:2" x14ac:dyDescent="0.3">
      <c r="A5724" s="5" t="str">
        <f>HYPERLINK("http://www.eatonpowersource.com/products/configure/industrial%20valves/details/869985","869985")</f>
        <v>869985</v>
      </c>
      <c r="B5724" s="6" t="s">
        <v>5683</v>
      </c>
    </row>
    <row r="5725" spans="1:2" x14ac:dyDescent="0.3">
      <c r="A5725" s="7" t="str">
        <f>HYPERLINK("http://www.eatonpowersource.com/products/configure/industrial%20valves/details/869991","869991")</f>
        <v>869991</v>
      </c>
      <c r="B5725" s="8" t="s">
        <v>5684</v>
      </c>
    </row>
    <row r="5726" spans="1:2" x14ac:dyDescent="0.3">
      <c r="A5726" s="5" t="str">
        <f>HYPERLINK("http://www.eatonpowersource.com/products/configure/industrial%20valves/details/869998","869998")</f>
        <v>869998</v>
      </c>
      <c r="B5726" s="6" t="s">
        <v>5685</v>
      </c>
    </row>
    <row r="5727" spans="1:2" x14ac:dyDescent="0.3">
      <c r="A5727" s="7" t="str">
        <f>HYPERLINK("http://www.eatonpowersource.com/products/configure/industrial%20valves/details/869999","869999")</f>
        <v>869999</v>
      </c>
      <c r="B5727" s="8" t="s">
        <v>5686</v>
      </c>
    </row>
    <row r="5728" spans="1:2" x14ac:dyDescent="0.3">
      <c r="A5728" s="5" t="str">
        <f>HYPERLINK("http://www.eatonpowersource.com/products/configure/industrial%20valves/details/870000","870000")</f>
        <v>870000</v>
      </c>
      <c r="B5728" s="6" t="s">
        <v>5687</v>
      </c>
    </row>
    <row r="5729" spans="1:2" x14ac:dyDescent="0.3">
      <c r="A5729" s="7" t="str">
        <f>HYPERLINK("http://www.eatonpowersource.com/products/configure/industrial%20valves/details/870002","870002")</f>
        <v>870002</v>
      </c>
      <c r="B5729" s="8" t="s">
        <v>5688</v>
      </c>
    </row>
    <row r="5730" spans="1:2" x14ac:dyDescent="0.3">
      <c r="A5730" s="5" t="str">
        <f>HYPERLINK("http://www.eatonpowersource.com/products/configure/industrial%20valves/details/870004","870004")</f>
        <v>870004</v>
      </c>
      <c r="B5730" s="6" t="s">
        <v>5689</v>
      </c>
    </row>
    <row r="5731" spans="1:2" x14ac:dyDescent="0.3">
      <c r="A5731" s="7" t="str">
        <f>HYPERLINK("http://www.eatonpowersource.com/products/configure/industrial%20valves/details/870005","870005")</f>
        <v>870005</v>
      </c>
      <c r="B5731" s="8" t="s">
        <v>5690</v>
      </c>
    </row>
    <row r="5732" spans="1:2" x14ac:dyDescent="0.3">
      <c r="A5732" s="5" t="str">
        <f>HYPERLINK("http://www.eatonpowersource.com/products/configure/industrial%20valves/details/870007","870007")</f>
        <v>870007</v>
      </c>
      <c r="B5732" s="6" t="s">
        <v>5691</v>
      </c>
    </row>
    <row r="5733" spans="1:2" x14ac:dyDescent="0.3">
      <c r="A5733" s="7" t="str">
        <f>HYPERLINK("http://www.eatonpowersource.com/products/configure/industrial%20valves/details/870010","870010")</f>
        <v>870010</v>
      </c>
      <c r="B5733" s="8" t="s">
        <v>5692</v>
      </c>
    </row>
    <row r="5734" spans="1:2" x14ac:dyDescent="0.3">
      <c r="A5734" s="5" t="str">
        <f>HYPERLINK("http://www.eatonpowersource.com/products/configure/industrial%20valves/details/870089","870089")</f>
        <v>870089</v>
      </c>
      <c r="B5734" s="6" t="s">
        <v>5693</v>
      </c>
    </row>
    <row r="5735" spans="1:2" x14ac:dyDescent="0.3">
      <c r="A5735" s="7" t="str">
        <f>HYPERLINK("http://www.eatonpowersource.com/products/configure/industrial%20valves/details/870092","870092")</f>
        <v>870092</v>
      </c>
      <c r="B5735" s="8" t="s">
        <v>5694</v>
      </c>
    </row>
    <row r="5736" spans="1:2" x14ac:dyDescent="0.3">
      <c r="A5736" s="5" t="str">
        <f>HYPERLINK("http://www.eatonpowersource.com/products/configure/industrial%20valves/details/870107","870107")</f>
        <v>870107</v>
      </c>
      <c r="B5736" s="6" t="s">
        <v>5695</v>
      </c>
    </row>
    <row r="5737" spans="1:2" x14ac:dyDescent="0.3">
      <c r="A5737" s="7" t="str">
        <f>HYPERLINK("http://www.eatonpowersource.com/products/configure/industrial%20valves/details/870115","870115")</f>
        <v>870115</v>
      </c>
      <c r="B5737" s="8" t="s">
        <v>5696</v>
      </c>
    </row>
    <row r="5738" spans="1:2" x14ac:dyDescent="0.3">
      <c r="A5738" s="5" t="str">
        <f>HYPERLINK("http://www.eatonpowersource.com/products/configure/industrial%20valves/details/870168","870168")</f>
        <v>870168</v>
      </c>
      <c r="B5738" s="6" t="s">
        <v>5697</v>
      </c>
    </row>
    <row r="5739" spans="1:2" x14ac:dyDescent="0.3">
      <c r="A5739" s="7" t="str">
        <f>HYPERLINK("http://www.eatonpowersource.com/products/configure/industrial%20valves/details/870177","870177")</f>
        <v>870177</v>
      </c>
      <c r="B5739" s="8" t="s">
        <v>5698</v>
      </c>
    </row>
    <row r="5740" spans="1:2" x14ac:dyDescent="0.3">
      <c r="A5740" s="5" t="str">
        <f>HYPERLINK("http://www.eatonpowersource.com/products/configure/industrial%20valves/details/870212","870212")</f>
        <v>870212</v>
      </c>
      <c r="B5740" s="6" t="s">
        <v>5699</v>
      </c>
    </row>
    <row r="5741" spans="1:2" x14ac:dyDescent="0.3">
      <c r="A5741" s="7" t="str">
        <f>HYPERLINK("http://www.eatonpowersource.com/products/configure/industrial%20valves/details/870220","870220")</f>
        <v>870220</v>
      </c>
      <c r="B5741" s="8" t="s">
        <v>5700</v>
      </c>
    </row>
    <row r="5742" spans="1:2" x14ac:dyDescent="0.3">
      <c r="A5742" s="5" t="str">
        <f>HYPERLINK("http://www.eatonpowersource.com/products/configure/industrial%20valves/details/870221","870221")</f>
        <v>870221</v>
      </c>
      <c r="B5742" s="6" t="s">
        <v>5701</v>
      </c>
    </row>
    <row r="5743" spans="1:2" x14ac:dyDescent="0.3">
      <c r="A5743" s="7" t="str">
        <f>HYPERLINK("http://www.eatonpowersource.com/products/configure/industrial%20valves/details/870225","870225")</f>
        <v>870225</v>
      </c>
      <c r="B5743" s="8" t="s">
        <v>5702</v>
      </c>
    </row>
    <row r="5744" spans="1:2" x14ac:dyDescent="0.3">
      <c r="A5744" s="5" t="str">
        <f>HYPERLINK("http://www.eatonpowersource.com/products/configure/industrial%20valves/details/870228","870228")</f>
        <v>870228</v>
      </c>
      <c r="B5744" s="6" t="s">
        <v>5703</v>
      </c>
    </row>
    <row r="5745" spans="1:2" x14ac:dyDescent="0.3">
      <c r="A5745" s="7" t="str">
        <f>HYPERLINK("http://www.eatonpowersource.com/products/configure/industrial%20valves/details/870229","870229")</f>
        <v>870229</v>
      </c>
      <c r="B5745" s="8" t="s">
        <v>5704</v>
      </c>
    </row>
    <row r="5746" spans="1:2" x14ac:dyDescent="0.3">
      <c r="A5746" s="5" t="str">
        <f>HYPERLINK("http://www.eatonpowersource.com/products/configure/industrial%20valves/details/870239","870239")</f>
        <v>870239</v>
      </c>
      <c r="B5746" s="6" t="s">
        <v>5705</v>
      </c>
    </row>
    <row r="5747" spans="1:2" x14ac:dyDescent="0.3">
      <c r="A5747" s="7" t="str">
        <f>HYPERLINK("http://www.eatonpowersource.com/products/configure/industrial%20valves/details/870252","870252")</f>
        <v>870252</v>
      </c>
      <c r="B5747" s="8" t="s">
        <v>5706</v>
      </c>
    </row>
    <row r="5748" spans="1:2" x14ac:dyDescent="0.3">
      <c r="A5748" s="5" t="str">
        <f>HYPERLINK("http://www.eatonpowersource.com/products/configure/industrial%20valves/details/870276","870276")</f>
        <v>870276</v>
      </c>
      <c r="B5748" s="6" t="s">
        <v>5707</v>
      </c>
    </row>
    <row r="5749" spans="1:2" x14ac:dyDescent="0.3">
      <c r="A5749" s="7" t="str">
        <f>HYPERLINK("http://www.eatonpowersource.com/products/configure/industrial%20valves/details/870277","870277")</f>
        <v>870277</v>
      </c>
      <c r="B5749" s="8" t="s">
        <v>5708</v>
      </c>
    </row>
    <row r="5750" spans="1:2" x14ac:dyDescent="0.3">
      <c r="A5750" s="5" t="str">
        <f>HYPERLINK("http://www.eatonpowersource.com/products/configure/industrial%20valves/details/870278","870278")</f>
        <v>870278</v>
      </c>
      <c r="B5750" s="6" t="s">
        <v>5709</v>
      </c>
    </row>
    <row r="5751" spans="1:2" x14ac:dyDescent="0.3">
      <c r="A5751" s="7" t="str">
        <f>HYPERLINK("http://www.eatonpowersource.com/products/configure/industrial%20valves/details/870283","870283")</f>
        <v>870283</v>
      </c>
      <c r="B5751" s="8" t="s">
        <v>5710</v>
      </c>
    </row>
    <row r="5752" spans="1:2" x14ac:dyDescent="0.3">
      <c r="A5752" s="5" t="str">
        <f>HYPERLINK("http://www.eatonpowersource.com/products/configure/industrial%20valves/details/870289","870289")</f>
        <v>870289</v>
      </c>
      <c r="B5752" s="6" t="s">
        <v>5711</v>
      </c>
    </row>
    <row r="5753" spans="1:2" x14ac:dyDescent="0.3">
      <c r="A5753" s="7" t="str">
        <f>HYPERLINK("http://www.eatonpowersource.com/products/configure/industrial%20valves/details/870301","870301")</f>
        <v>870301</v>
      </c>
      <c r="B5753" s="8" t="s">
        <v>5712</v>
      </c>
    </row>
    <row r="5754" spans="1:2" x14ac:dyDescent="0.3">
      <c r="A5754" s="5" t="str">
        <f>HYPERLINK("http://www.eatonpowersource.com/products/configure/industrial%20valves/details/870350","870350")</f>
        <v>870350</v>
      </c>
      <c r="B5754" s="6" t="s">
        <v>5713</v>
      </c>
    </row>
    <row r="5755" spans="1:2" x14ac:dyDescent="0.3">
      <c r="A5755" s="7" t="str">
        <f>HYPERLINK("http://www.eatonpowersource.com/products/configure/industrial%20valves/details/870353","870353")</f>
        <v>870353</v>
      </c>
      <c r="B5755" s="8" t="s">
        <v>5714</v>
      </c>
    </row>
    <row r="5756" spans="1:2" x14ac:dyDescent="0.3">
      <c r="A5756" s="5" t="str">
        <f>HYPERLINK("http://www.eatonpowersource.com/products/configure/industrial%20valves/details/870355","870355")</f>
        <v>870355</v>
      </c>
      <c r="B5756" s="6" t="s">
        <v>5715</v>
      </c>
    </row>
    <row r="5757" spans="1:2" x14ac:dyDescent="0.3">
      <c r="A5757" s="7" t="str">
        <f>HYPERLINK("http://www.eatonpowersource.com/products/configure/industrial%20valves/details/870356","870356")</f>
        <v>870356</v>
      </c>
      <c r="B5757" s="8" t="s">
        <v>5716</v>
      </c>
    </row>
    <row r="5758" spans="1:2" x14ac:dyDescent="0.3">
      <c r="A5758" s="5" t="str">
        <f>HYPERLINK("http://www.eatonpowersource.com/products/configure/industrial%20valves/details/870359","870359")</f>
        <v>870359</v>
      </c>
      <c r="B5758" s="6" t="s">
        <v>5717</v>
      </c>
    </row>
    <row r="5759" spans="1:2" x14ac:dyDescent="0.3">
      <c r="A5759" s="7" t="str">
        <f>HYPERLINK("http://www.eatonpowersource.com/products/configure/industrial%20valves/details/870360","870360")</f>
        <v>870360</v>
      </c>
      <c r="B5759" s="8" t="s">
        <v>5718</v>
      </c>
    </row>
    <row r="5760" spans="1:2" x14ac:dyDescent="0.3">
      <c r="A5760" s="5" t="str">
        <f>HYPERLINK("http://www.eatonpowersource.com/products/configure/industrial%20valves/details/870362","870362")</f>
        <v>870362</v>
      </c>
      <c r="B5760" s="6" t="s">
        <v>5719</v>
      </c>
    </row>
    <row r="5761" spans="1:2" x14ac:dyDescent="0.3">
      <c r="A5761" s="7" t="str">
        <f>HYPERLINK("http://www.eatonpowersource.com/products/configure/industrial%20valves/details/870364","870364")</f>
        <v>870364</v>
      </c>
      <c r="B5761" s="8" t="s">
        <v>5720</v>
      </c>
    </row>
    <row r="5762" spans="1:2" x14ac:dyDescent="0.3">
      <c r="A5762" s="5" t="str">
        <f>HYPERLINK("http://www.eatonpowersource.com/products/configure/industrial%20valves/details/870369","870369")</f>
        <v>870369</v>
      </c>
      <c r="B5762" s="6" t="s">
        <v>5721</v>
      </c>
    </row>
    <row r="5763" spans="1:2" x14ac:dyDescent="0.3">
      <c r="A5763" s="7" t="str">
        <f>HYPERLINK("http://www.eatonpowersource.com/products/configure/industrial%20valves/details/870372","870372")</f>
        <v>870372</v>
      </c>
      <c r="B5763" s="8" t="s">
        <v>5722</v>
      </c>
    </row>
    <row r="5764" spans="1:2" x14ac:dyDescent="0.3">
      <c r="A5764" s="5" t="str">
        <f>HYPERLINK("http://www.eatonpowersource.com/products/configure/industrial%20valves/details/870373","870373")</f>
        <v>870373</v>
      </c>
      <c r="B5764" s="6" t="s">
        <v>5723</v>
      </c>
    </row>
    <row r="5765" spans="1:2" x14ac:dyDescent="0.3">
      <c r="A5765" s="7" t="str">
        <f>HYPERLINK("http://www.eatonpowersource.com/products/configure/industrial%20valves/details/870377","870377")</f>
        <v>870377</v>
      </c>
      <c r="B5765" s="8" t="s">
        <v>5724</v>
      </c>
    </row>
    <row r="5766" spans="1:2" x14ac:dyDescent="0.3">
      <c r="A5766" s="5" t="str">
        <f>HYPERLINK("http://www.eatonpowersource.com/products/configure/industrial%20valves/details/870378","870378")</f>
        <v>870378</v>
      </c>
      <c r="B5766" s="6" t="s">
        <v>5725</v>
      </c>
    </row>
    <row r="5767" spans="1:2" x14ac:dyDescent="0.3">
      <c r="A5767" s="7" t="str">
        <f>HYPERLINK("http://www.eatonpowersource.com/products/configure/industrial%20valves/details/870404","870404")</f>
        <v>870404</v>
      </c>
      <c r="B5767" s="8" t="s">
        <v>5726</v>
      </c>
    </row>
    <row r="5768" spans="1:2" x14ac:dyDescent="0.3">
      <c r="A5768" s="5" t="str">
        <f>HYPERLINK("http://www.eatonpowersource.com/products/configure/industrial%20valves/details/870406","870406")</f>
        <v>870406</v>
      </c>
      <c r="B5768" s="6" t="s">
        <v>5727</v>
      </c>
    </row>
    <row r="5769" spans="1:2" x14ac:dyDescent="0.3">
      <c r="A5769" s="7" t="str">
        <f>HYPERLINK("http://www.eatonpowersource.com/products/configure/industrial%20valves/details/870407","870407")</f>
        <v>870407</v>
      </c>
      <c r="B5769" s="8" t="s">
        <v>5728</v>
      </c>
    </row>
    <row r="5770" spans="1:2" x14ac:dyDescent="0.3">
      <c r="A5770" s="5" t="str">
        <f>HYPERLINK("http://www.eatonpowersource.com/products/configure/industrial%20valves/details/870410","870410")</f>
        <v>870410</v>
      </c>
      <c r="B5770" s="6" t="s">
        <v>5729</v>
      </c>
    </row>
    <row r="5771" spans="1:2" x14ac:dyDescent="0.3">
      <c r="A5771" s="7" t="str">
        <f>HYPERLINK("http://www.eatonpowersource.com/products/configure/industrial%20valves/details/870441","870441")</f>
        <v>870441</v>
      </c>
      <c r="B5771" s="8" t="s">
        <v>5730</v>
      </c>
    </row>
    <row r="5772" spans="1:2" x14ac:dyDescent="0.3">
      <c r="A5772" s="5" t="str">
        <f>HYPERLINK("http://www.eatonpowersource.com/products/configure/industrial%20valves/details/870454","870454")</f>
        <v>870454</v>
      </c>
      <c r="B5772" s="6" t="s">
        <v>5731</v>
      </c>
    </row>
    <row r="5773" spans="1:2" x14ac:dyDescent="0.3">
      <c r="A5773" s="7" t="str">
        <f>HYPERLINK("http://www.eatonpowersource.com/products/configure/industrial%20valves/details/870457","870457")</f>
        <v>870457</v>
      </c>
      <c r="B5773" s="8" t="s">
        <v>5732</v>
      </c>
    </row>
    <row r="5774" spans="1:2" x14ac:dyDescent="0.3">
      <c r="A5774" s="5" t="str">
        <f>HYPERLINK("http://www.eatonpowersource.com/products/configure/industrial%20valves/details/870458","870458")</f>
        <v>870458</v>
      </c>
      <c r="B5774" s="6" t="s">
        <v>5733</v>
      </c>
    </row>
    <row r="5775" spans="1:2" x14ac:dyDescent="0.3">
      <c r="A5775" s="7" t="str">
        <f>HYPERLINK("http://www.eatonpowersource.com/products/configure/industrial%20valves/details/870471","870471")</f>
        <v>870471</v>
      </c>
      <c r="B5775" s="8" t="s">
        <v>5734</v>
      </c>
    </row>
    <row r="5776" spans="1:2" x14ac:dyDescent="0.3">
      <c r="A5776" s="5" t="str">
        <f>HYPERLINK("http://www.eatonpowersource.com/products/configure/industrial%20valves/details/870473","870473")</f>
        <v>870473</v>
      </c>
      <c r="B5776" s="6" t="s">
        <v>5735</v>
      </c>
    </row>
    <row r="5777" spans="1:2" x14ac:dyDescent="0.3">
      <c r="A5777" s="7" t="str">
        <f>HYPERLINK("http://www.eatonpowersource.com/products/configure/industrial%20valves/details/870474","870474")</f>
        <v>870474</v>
      </c>
      <c r="B5777" s="8" t="s">
        <v>5736</v>
      </c>
    </row>
    <row r="5778" spans="1:2" x14ac:dyDescent="0.3">
      <c r="A5778" s="5" t="str">
        <f>HYPERLINK("http://www.eatonpowersource.com/products/configure/industrial%20valves/details/870476","870476")</f>
        <v>870476</v>
      </c>
      <c r="B5778" s="6" t="s">
        <v>5737</v>
      </c>
    </row>
    <row r="5779" spans="1:2" x14ac:dyDescent="0.3">
      <c r="A5779" s="7" t="str">
        <f>HYPERLINK("http://www.eatonpowersource.com/products/configure/industrial%20valves/details/870482","870482")</f>
        <v>870482</v>
      </c>
      <c r="B5779" s="8" t="s">
        <v>5738</v>
      </c>
    </row>
    <row r="5780" spans="1:2" x14ac:dyDescent="0.3">
      <c r="A5780" s="5" t="str">
        <f>HYPERLINK("http://www.eatonpowersource.com/products/configure/industrial%20valves/details/870488","870488")</f>
        <v>870488</v>
      </c>
      <c r="B5780" s="6" t="s">
        <v>5739</v>
      </c>
    </row>
    <row r="5781" spans="1:2" x14ac:dyDescent="0.3">
      <c r="A5781" s="7" t="str">
        <f>HYPERLINK("http://www.eatonpowersource.com/products/configure/industrial%20valves/details/870518","870518")</f>
        <v>870518</v>
      </c>
      <c r="B5781" s="8" t="s">
        <v>5740</v>
      </c>
    </row>
    <row r="5782" spans="1:2" x14ac:dyDescent="0.3">
      <c r="A5782" s="5" t="str">
        <f>HYPERLINK("http://www.eatonpowersource.com/products/configure/industrial%20valves/details/870519","870519")</f>
        <v>870519</v>
      </c>
      <c r="B5782" s="6" t="s">
        <v>5741</v>
      </c>
    </row>
    <row r="5783" spans="1:2" x14ac:dyDescent="0.3">
      <c r="A5783" s="7" t="str">
        <f>HYPERLINK("http://www.eatonpowersource.com/products/configure/industrial%20valves/details/870521","870521")</f>
        <v>870521</v>
      </c>
      <c r="B5783" s="8" t="s">
        <v>5742</v>
      </c>
    </row>
    <row r="5784" spans="1:2" x14ac:dyDescent="0.3">
      <c r="A5784" s="5" t="str">
        <f>HYPERLINK("http://www.eatonpowersource.com/products/configure/industrial%20valves/details/870539","870539")</f>
        <v>870539</v>
      </c>
      <c r="B5784" s="6" t="s">
        <v>5743</v>
      </c>
    </row>
    <row r="5785" spans="1:2" x14ac:dyDescent="0.3">
      <c r="A5785" s="7" t="str">
        <f>HYPERLINK("http://www.eatonpowersource.com/products/configure/industrial%20valves/details/870555","870555")</f>
        <v>870555</v>
      </c>
      <c r="B5785" s="8" t="s">
        <v>5744</v>
      </c>
    </row>
    <row r="5786" spans="1:2" x14ac:dyDescent="0.3">
      <c r="A5786" s="5" t="str">
        <f>HYPERLINK("http://www.eatonpowersource.com/products/configure/industrial%20valves/details/870619","870619")</f>
        <v>870619</v>
      </c>
      <c r="B5786" s="6" t="s">
        <v>5745</v>
      </c>
    </row>
    <row r="5787" spans="1:2" x14ac:dyDescent="0.3">
      <c r="A5787" s="7" t="str">
        <f>HYPERLINK("http://www.eatonpowersource.com/products/configure/industrial%20valves/details/870644","870644")</f>
        <v>870644</v>
      </c>
      <c r="B5787" s="8" t="s">
        <v>5746</v>
      </c>
    </row>
    <row r="5788" spans="1:2" x14ac:dyDescent="0.3">
      <c r="A5788" s="5" t="str">
        <f>HYPERLINK("http://www.eatonpowersource.com/products/configure/industrial%20valves/details/870645","870645")</f>
        <v>870645</v>
      </c>
      <c r="B5788" s="6" t="s">
        <v>5747</v>
      </c>
    </row>
    <row r="5789" spans="1:2" x14ac:dyDescent="0.3">
      <c r="A5789" s="7" t="str">
        <f>HYPERLINK("http://www.eatonpowersource.com/products/configure/industrial%20valves/details/870647","870647")</f>
        <v>870647</v>
      </c>
      <c r="B5789" s="8" t="s">
        <v>5748</v>
      </c>
    </row>
    <row r="5790" spans="1:2" x14ac:dyDescent="0.3">
      <c r="A5790" s="5" t="str">
        <f>HYPERLINK("http://www.eatonpowersource.com/products/configure/industrial%20valves/details/870659","870659")</f>
        <v>870659</v>
      </c>
      <c r="B5790" s="6" t="s">
        <v>5749</v>
      </c>
    </row>
    <row r="5791" spans="1:2" x14ac:dyDescent="0.3">
      <c r="A5791" s="7" t="str">
        <f>HYPERLINK("http://www.eatonpowersource.com/products/configure/industrial%20valves/details/870662","870662")</f>
        <v>870662</v>
      </c>
      <c r="B5791" s="8" t="s">
        <v>5750</v>
      </c>
    </row>
    <row r="5792" spans="1:2" x14ac:dyDescent="0.3">
      <c r="A5792" s="5" t="str">
        <f>HYPERLINK("http://www.eatonpowersource.com/products/configure/industrial%20valves/details/870682","870682")</f>
        <v>870682</v>
      </c>
      <c r="B5792" s="6" t="s">
        <v>5751</v>
      </c>
    </row>
    <row r="5793" spans="1:2" x14ac:dyDescent="0.3">
      <c r="A5793" s="7" t="str">
        <f>HYPERLINK("http://www.eatonpowersource.com/products/configure/industrial%20valves/details/870748","870748")</f>
        <v>870748</v>
      </c>
      <c r="B5793" s="8" t="s">
        <v>5752</v>
      </c>
    </row>
    <row r="5794" spans="1:2" x14ac:dyDescent="0.3">
      <c r="A5794" s="5" t="str">
        <f>HYPERLINK("http://www.eatonpowersource.com/products/configure/industrial%20valves/details/870762","870762")</f>
        <v>870762</v>
      </c>
      <c r="B5794" s="6" t="s">
        <v>5753</v>
      </c>
    </row>
    <row r="5795" spans="1:2" x14ac:dyDescent="0.3">
      <c r="A5795" s="7" t="str">
        <f>HYPERLINK("http://www.eatonpowersource.com/products/configure/industrial%20valves/details/870784","870784")</f>
        <v>870784</v>
      </c>
      <c r="B5795" s="8" t="s">
        <v>5754</v>
      </c>
    </row>
    <row r="5796" spans="1:2" x14ac:dyDescent="0.3">
      <c r="A5796" s="5" t="str">
        <f>HYPERLINK("http://www.eatonpowersource.com/products/configure/industrial%20valves/details/870785","870785")</f>
        <v>870785</v>
      </c>
      <c r="B5796" s="6" t="s">
        <v>5755</v>
      </c>
    </row>
    <row r="5797" spans="1:2" x14ac:dyDescent="0.3">
      <c r="A5797" s="7" t="str">
        <f>HYPERLINK("http://www.eatonpowersource.com/products/configure/industrial%20valves/details/870804","870804")</f>
        <v>870804</v>
      </c>
      <c r="B5797" s="8" t="s">
        <v>5756</v>
      </c>
    </row>
    <row r="5798" spans="1:2" x14ac:dyDescent="0.3">
      <c r="A5798" s="5" t="str">
        <f>HYPERLINK("http://www.eatonpowersource.com/products/configure/industrial%20valves/details/870805","870805")</f>
        <v>870805</v>
      </c>
      <c r="B5798" s="6" t="s">
        <v>5757</v>
      </c>
    </row>
    <row r="5799" spans="1:2" x14ac:dyDescent="0.3">
      <c r="A5799" s="7" t="str">
        <f>HYPERLINK("http://www.eatonpowersource.com/products/configure/industrial%20valves/details/870816","870816")</f>
        <v>870816</v>
      </c>
      <c r="B5799" s="8" t="s">
        <v>5758</v>
      </c>
    </row>
    <row r="5800" spans="1:2" x14ac:dyDescent="0.3">
      <c r="A5800" s="5" t="str">
        <f>HYPERLINK("http://www.eatonpowersource.com/products/configure/industrial%20valves/details/870821","870821")</f>
        <v>870821</v>
      </c>
      <c r="B5800" s="6" t="s">
        <v>5759</v>
      </c>
    </row>
    <row r="5801" spans="1:2" x14ac:dyDescent="0.3">
      <c r="A5801" s="7" t="str">
        <f>HYPERLINK("http://www.eatonpowersource.com/products/configure/industrial%20valves/details/870822","870822")</f>
        <v>870822</v>
      </c>
      <c r="B5801" s="8" t="s">
        <v>5760</v>
      </c>
    </row>
    <row r="5802" spans="1:2" x14ac:dyDescent="0.3">
      <c r="A5802" s="5" t="str">
        <f>HYPERLINK("http://www.eatonpowersource.com/products/configure/industrial%20valves/details/870823","870823")</f>
        <v>870823</v>
      </c>
      <c r="B5802" s="6" t="s">
        <v>5761</v>
      </c>
    </row>
    <row r="5803" spans="1:2" x14ac:dyDescent="0.3">
      <c r="A5803" s="7" t="str">
        <f>HYPERLINK("http://www.eatonpowersource.com/products/configure/industrial%20valves/details/870865","870865")</f>
        <v>870865</v>
      </c>
      <c r="B5803" s="8" t="s">
        <v>5762</v>
      </c>
    </row>
    <row r="5804" spans="1:2" x14ac:dyDescent="0.3">
      <c r="A5804" s="5" t="str">
        <f>HYPERLINK("http://www.eatonpowersource.com/products/configure/industrial%20valves/details/870868","870868")</f>
        <v>870868</v>
      </c>
      <c r="B5804" s="6" t="s">
        <v>5763</v>
      </c>
    </row>
    <row r="5805" spans="1:2" x14ac:dyDescent="0.3">
      <c r="A5805" s="7" t="str">
        <f>HYPERLINK("http://www.eatonpowersource.com/products/configure/industrial%20valves/details/870875","870875")</f>
        <v>870875</v>
      </c>
      <c r="B5805" s="8" t="s">
        <v>5764</v>
      </c>
    </row>
    <row r="5806" spans="1:2" x14ac:dyDescent="0.3">
      <c r="A5806" s="5" t="str">
        <f>HYPERLINK("http://www.eatonpowersource.com/products/configure/industrial%20valves/details/870881","870881")</f>
        <v>870881</v>
      </c>
      <c r="B5806" s="6" t="s">
        <v>5765</v>
      </c>
    </row>
    <row r="5807" spans="1:2" x14ac:dyDescent="0.3">
      <c r="A5807" s="7" t="str">
        <f>HYPERLINK("http://www.eatonpowersource.com/products/configure/industrial%20valves/details/870890","870890")</f>
        <v>870890</v>
      </c>
      <c r="B5807" s="8" t="s">
        <v>5766</v>
      </c>
    </row>
    <row r="5808" spans="1:2" x14ac:dyDescent="0.3">
      <c r="A5808" s="5" t="str">
        <f>HYPERLINK("http://www.eatonpowersource.com/products/configure/industrial%20valves/details/870897","870897")</f>
        <v>870897</v>
      </c>
      <c r="B5808" s="6" t="s">
        <v>5767</v>
      </c>
    </row>
    <row r="5809" spans="1:2" x14ac:dyDescent="0.3">
      <c r="A5809" s="7" t="str">
        <f>HYPERLINK("http://www.eatonpowersource.com/products/configure/industrial%20valves/details/870922","870922")</f>
        <v>870922</v>
      </c>
      <c r="B5809" s="8" t="s">
        <v>5768</v>
      </c>
    </row>
    <row r="5810" spans="1:2" x14ac:dyDescent="0.3">
      <c r="A5810" s="5" t="str">
        <f>HYPERLINK("http://www.eatonpowersource.com/products/configure/industrial%20valves/details/870929","870929")</f>
        <v>870929</v>
      </c>
      <c r="B5810" s="6" t="s">
        <v>5769</v>
      </c>
    </row>
    <row r="5811" spans="1:2" x14ac:dyDescent="0.3">
      <c r="A5811" s="7" t="str">
        <f>HYPERLINK("http://www.eatonpowersource.com/products/configure/industrial%20valves/details/870953","870953")</f>
        <v>870953</v>
      </c>
      <c r="B5811" s="8" t="s">
        <v>5770</v>
      </c>
    </row>
    <row r="5812" spans="1:2" x14ac:dyDescent="0.3">
      <c r="A5812" s="5" t="str">
        <f>HYPERLINK("http://www.eatonpowersource.com/products/configure/industrial%20valves/details/870954","870954")</f>
        <v>870954</v>
      </c>
      <c r="B5812" s="6" t="s">
        <v>5771</v>
      </c>
    </row>
    <row r="5813" spans="1:2" x14ac:dyDescent="0.3">
      <c r="A5813" s="7" t="str">
        <f>HYPERLINK("http://www.eatonpowersource.com/products/configure/industrial%20valves/details/870970","870970")</f>
        <v>870970</v>
      </c>
      <c r="B5813" s="8" t="s">
        <v>5772</v>
      </c>
    </row>
    <row r="5814" spans="1:2" x14ac:dyDescent="0.3">
      <c r="A5814" s="5" t="str">
        <f>HYPERLINK("http://www.eatonpowersource.com/products/configure/industrial%20valves/details/870985","870985")</f>
        <v>870985</v>
      </c>
      <c r="B5814" s="6" t="s">
        <v>5773</v>
      </c>
    </row>
    <row r="5815" spans="1:2" x14ac:dyDescent="0.3">
      <c r="A5815" s="7" t="str">
        <f>HYPERLINK("http://www.eatonpowersource.com/products/configure/industrial%20valves/details/870992","870992")</f>
        <v>870992</v>
      </c>
      <c r="B5815" s="8" t="s">
        <v>5774</v>
      </c>
    </row>
    <row r="5816" spans="1:2" x14ac:dyDescent="0.3">
      <c r="A5816" s="5" t="str">
        <f>HYPERLINK("http://www.eatonpowersource.com/products/configure/industrial%20valves/details/871019","871019")</f>
        <v>871019</v>
      </c>
      <c r="B5816" s="6" t="s">
        <v>5775</v>
      </c>
    </row>
    <row r="5817" spans="1:2" x14ac:dyDescent="0.3">
      <c r="A5817" s="7" t="str">
        <f>HYPERLINK("http://www.eatonpowersource.com/products/configure/industrial%20valves/details/871044","871044")</f>
        <v>871044</v>
      </c>
      <c r="B5817" s="8" t="s">
        <v>5776</v>
      </c>
    </row>
    <row r="5818" spans="1:2" x14ac:dyDescent="0.3">
      <c r="A5818" s="5" t="str">
        <f>HYPERLINK("http://www.eatonpowersource.com/products/configure/industrial%20valves/details/871050","871050")</f>
        <v>871050</v>
      </c>
      <c r="B5818" s="6" t="s">
        <v>5777</v>
      </c>
    </row>
    <row r="5819" spans="1:2" x14ac:dyDescent="0.3">
      <c r="A5819" s="7" t="str">
        <f>HYPERLINK("http://www.eatonpowersource.com/products/configure/industrial%20valves/details/871068","871068")</f>
        <v>871068</v>
      </c>
      <c r="B5819" s="8" t="s">
        <v>5778</v>
      </c>
    </row>
    <row r="5820" spans="1:2" x14ac:dyDescent="0.3">
      <c r="A5820" s="5" t="str">
        <f>HYPERLINK("http://www.eatonpowersource.com/products/configure/industrial%20valves/details/871076","871076")</f>
        <v>871076</v>
      </c>
      <c r="B5820" s="6" t="s">
        <v>5779</v>
      </c>
    </row>
    <row r="5821" spans="1:2" x14ac:dyDescent="0.3">
      <c r="A5821" s="7" t="str">
        <f>HYPERLINK("http://www.eatonpowersource.com/products/configure/industrial%20valves/details/871077","871077")</f>
        <v>871077</v>
      </c>
      <c r="B5821" s="8" t="s">
        <v>5780</v>
      </c>
    </row>
    <row r="5822" spans="1:2" x14ac:dyDescent="0.3">
      <c r="A5822" s="5" t="str">
        <f>HYPERLINK("http://www.eatonpowersource.com/products/configure/industrial%20valves/details/871078","871078")</f>
        <v>871078</v>
      </c>
      <c r="B5822" s="6" t="s">
        <v>5781</v>
      </c>
    </row>
    <row r="5823" spans="1:2" x14ac:dyDescent="0.3">
      <c r="A5823" s="7" t="str">
        <f>HYPERLINK("http://www.eatonpowersource.com/products/configure/industrial%20valves/details/871086","871086")</f>
        <v>871086</v>
      </c>
      <c r="B5823" s="8" t="s">
        <v>5782</v>
      </c>
    </row>
    <row r="5824" spans="1:2" x14ac:dyDescent="0.3">
      <c r="A5824" s="5" t="str">
        <f>HYPERLINK("http://www.eatonpowersource.com/products/configure/industrial%20valves/details/871095","871095")</f>
        <v>871095</v>
      </c>
      <c r="B5824" s="6" t="s">
        <v>5783</v>
      </c>
    </row>
    <row r="5825" spans="1:2" x14ac:dyDescent="0.3">
      <c r="A5825" s="7" t="str">
        <f>HYPERLINK("http://www.eatonpowersource.com/products/configure/industrial%20valves/details/871106","871106")</f>
        <v>871106</v>
      </c>
      <c r="B5825" s="8" t="s">
        <v>5784</v>
      </c>
    </row>
    <row r="5826" spans="1:2" x14ac:dyDescent="0.3">
      <c r="A5826" s="5" t="str">
        <f>HYPERLINK("http://www.eatonpowersource.com/products/configure/industrial%20valves/details/871112","871112")</f>
        <v>871112</v>
      </c>
      <c r="B5826" s="6" t="s">
        <v>5785</v>
      </c>
    </row>
    <row r="5827" spans="1:2" x14ac:dyDescent="0.3">
      <c r="A5827" s="7" t="str">
        <f>HYPERLINK("http://www.eatonpowersource.com/products/configure/industrial%20valves/details/871126","871126")</f>
        <v>871126</v>
      </c>
      <c r="B5827" s="8" t="s">
        <v>5786</v>
      </c>
    </row>
    <row r="5828" spans="1:2" x14ac:dyDescent="0.3">
      <c r="A5828" s="5" t="str">
        <f>HYPERLINK("http://www.eatonpowersource.com/products/configure/industrial%20valves/details/871136","871136")</f>
        <v>871136</v>
      </c>
      <c r="B5828" s="6" t="s">
        <v>5787</v>
      </c>
    </row>
    <row r="5829" spans="1:2" x14ac:dyDescent="0.3">
      <c r="A5829" s="7" t="str">
        <f>HYPERLINK("http://www.eatonpowersource.com/products/configure/industrial%20valves/details/871142","871142")</f>
        <v>871142</v>
      </c>
      <c r="B5829" s="8" t="s">
        <v>5788</v>
      </c>
    </row>
    <row r="5830" spans="1:2" x14ac:dyDescent="0.3">
      <c r="A5830" s="5" t="str">
        <f>HYPERLINK("http://www.eatonpowersource.com/products/configure/industrial%20valves/details/871143","871143")</f>
        <v>871143</v>
      </c>
      <c r="B5830" s="6" t="s">
        <v>5789</v>
      </c>
    </row>
    <row r="5831" spans="1:2" x14ac:dyDescent="0.3">
      <c r="A5831" s="7" t="str">
        <f>HYPERLINK("http://www.eatonpowersource.com/products/configure/industrial%20valves/details/871162","871162")</f>
        <v>871162</v>
      </c>
      <c r="B5831" s="8" t="s">
        <v>5790</v>
      </c>
    </row>
    <row r="5832" spans="1:2" x14ac:dyDescent="0.3">
      <c r="A5832" s="5" t="str">
        <f>HYPERLINK("http://www.eatonpowersource.com/products/configure/industrial%20valves/details/871225","871225")</f>
        <v>871225</v>
      </c>
      <c r="B5832" s="6" t="s">
        <v>5791</v>
      </c>
    </row>
    <row r="5833" spans="1:2" x14ac:dyDescent="0.3">
      <c r="A5833" s="7" t="str">
        <f>HYPERLINK("http://www.eatonpowersource.com/products/configure/industrial%20valves/details/871228","871228")</f>
        <v>871228</v>
      </c>
      <c r="B5833" s="8" t="s">
        <v>5792</v>
      </c>
    </row>
    <row r="5834" spans="1:2" x14ac:dyDescent="0.3">
      <c r="A5834" s="5" t="str">
        <f>HYPERLINK("http://www.eatonpowersource.com/products/configure/industrial%20valves/details/871249","871249")</f>
        <v>871249</v>
      </c>
      <c r="B5834" s="6" t="s">
        <v>5793</v>
      </c>
    </row>
    <row r="5835" spans="1:2" x14ac:dyDescent="0.3">
      <c r="A5835" s="7" t="str">
        <f>HYPERLINK("http://www.eatonpowersource.com/products/configure/industrial%20valves/details/871265","871265")</f>
        <v>871265</v>
      </c>
      <c r="B5835" s="8" t="s">
        <v>5794</v>
      </c>
    </row>
    <row r="5836" spans="1:2" x14ac:dyDescent="0.3">
      <c r="A5836" s="5" t="str">
        <f>HYPERLINK("http://www.eatonpowersource.com/products/configure/industrial%20valves/details/871267","871267")</f>
        <v>871267</v>
      </c>
      <c r="B5836" s="6" t="s">
        <v>5795</v>
      </c>
    </row>
    <row r="5837" spans="1:2" x14ac:dyDescent="0.3">
      <c r="A5837" s="7" t="str">
        <f>HYPERLINK("http://www.eatonpowersource.com/products/configure/industrial%20valves/details/871318","871318")</f>
        <v>871318</v>
      </c>
      <c r="B5837" s="8" t="s">
        <v>5796</v>
      </c>
    </row>
    <row r="5838" spans="1:2" x14ac:dyDescent="0.3">
      <c r="A5838" s="5" t="str">
        <f>HYPERLINK("http://www.eatonpowersource.com/products/configure/industrial%20valves/details/871343","871343")</f>
        <v>871343</v>
      </c>
      <c r="B5838" s="6" t="s">
        <v>5797</v>
      </c>
    </row>
    <row r="5839" spans="1:2" x14ac:dyDescent="0.3">
      <c r="A5839" s="7" t="str">
        <f>HYPERLINK("http://www.eatonpowersource.com/products/configure/industrial%20valves/details/871358","871358")</f>
        <v>871358</v>
      </c>
      <c r="B5839" s="8" t="s">
        <v>5798</v>
      </c>
    </row>
    <row r="5840" spans="1:2" x14ac:dyDescent="0.3">
      <c r="A5840" s="5" t="str">
        <f>HYPERLINK("http://www.eatonpowersource.com/products/configure/industrial%20valves/details/871379","871379")</f>
        <v>871379</v>
      </c>
      <c r="B5840" s="6" t="s">
        <v>5799</v>
      </c>
    </row>
    <row r="5841" spans="1:2" x14ac:dyDescent="0.3">
      <c r="A5841" s="7" t="str">
        <f>HYPERLINK("http://www.eatonpowersource.com/products/configure/industrial%20valves/details/871396","871396")</f>
        <v>871396</v>
      </c>
      <c r="B5841" s="8" t="s">
        <v>5800</v>
      </c>
    </row>
    <row r="5842" spans="1:2" x14ac:dyDescent="0.3">
      <c r="A5842" s="5" t="str">
        <f>HYPERLINK("http://www.eatonpowersource.com/products/configure/industrial%20valves/details/871397","871397")</f>
        <v>871397</v>
      </c>
      <c r="B5842" s="6" t="s">
        <v>5801</v>
      </c>
    </row>
    <row r="5843" spans="1:2" x14ac:dyDescent="0.3">
      <c r="A5843" s="7" t="str">
        <f>HYPERLINK("http://www.eatonpowersource.com/products/configure/industrial%20valves/details/871432","871432")</f>
        <v>871432</v>
      </c>
      <c r="B5843" s="8" t="s">
        <v>5802</v>
      </c>
    </row>
    <row r="5844" spans="1:2" x14ac:dyDescent="0.3">
      <c r="A5844" s="5" t="str">
        <f>HYPERLINK("http://www.eatonpowersource.com/products/configure/industrial%20valves/details/871468","871468")</f>
        <v>871468</v>
      </c>
      <c r="B5844" s="6" t="s">
        <v>5803</v>
      </c>
    </row>
    <row r="5845" spans="1:2" x14ac:dyDescent="0.3">
      <c r="A5845" s="7" t="str">
        <f>HYPERLINK("http://www.eatonpowersource.com/products/configure/industrial%20valves/details/871505","871505")</f>
        <v>871505</v>
      </c>
      <c r="B5845" s="8" t="s">
        <v>5804</v>
      </c>
    </row>
    <row r="5846" spans="1:2" x14ac:dyDescent="0.3">
      <c r="A5846" s="5" t="str">
        <f>HYPERLINK("http://www.eatonpowersource.com/products/configure/industrial%20valves/details/871518","871518")</f>
        <v>871518</v>
      </c>
      <c r="B5846" s="6" t="s">
        <v>5805</v>
      </c>
    </row>
    <row r="5847" spans="1:2" x14ac:dyDescent="0.3">
      <c r="A5847" s="7" t="str">
        <f>HYPERLINK("http://www.eatonpowersource.com/products/configure/industrial%20valves/details/871523","871523")</f>
        <v>871523</v>
      </c>
      <c r="B5847" s="8" t="s">
        <v>5806</v>
      </c>
    </row>
    <row r="5848" spans="1:2" x14ac:dyDescent="0.3">
      <c r="A5848" s="5" t="str">
        <f>HYPERLINK("http://www.eatonpowersource.com/products/configure/industrial%20valves/details/871580","871580")</f>
        <v>871580</v>
      </c>
      <c r="B5848" s="6" t="s">
        <v>5807</v>
      </c>
    </row>
    <row r="5849" spans="1:2" x14ac:dyDescent="0.3">
      <c r="A5849" s="7" t="str">
        <f>HYPERLINK("http://www.eatonpowersource.com/products/configure/industrial%20valves/details/871693","871693")</f>
        <v>871693</v>
      </c>
      <c r="B5849" s="8" t="s">
        <v>5808</v>
      </c>
    </row>
    <row r="5850" spans="1:2" x14ac:dyDescent="0.3">
      <c r="A5850" s="5" t="str">
        <f>HYPERLINK("http://www.eatonpowersource.com/products/configure/industrial%20valves/details/871838","871838")</f>
        <v>871838</v>
      </c>
      <c r="B5850" s="6" t="s">
        <v>5809</v>
      </c>
    </row>
    <row r="5851" spans="1:2" x14ac:dyDescent="0.3">
      <c r="A5851" s="7" t="str">
        <f>HYPERLINK("http://www.eatonpowersource.com/products/configure/industrial%20valves/details/871847","871847")</f>
        <v>871847</v>
      </c>
      <c r="B5851" s="8" t="s">
        <v>5810</v>
      </c>
    </row>
    <row r="5852" spans="1:2" x14ac:dyDescent="0.3">
      <c r="A5852" s="5" t="str">
        <f>HYPERLINK("http://www.eatonpowersource.com/products/configure/industrial%20valves/details/871852","871852")</f>
        <v>871852</v>
      </c>
      <c r="B5852" s="6" t="s">
        <v>5811</v>
      </c>
    </row>
    <row r="5853" spans="1:2" x14ac:dyDescent="0.3">
      <c r="A5853" s="7" t="str">
        <f>HYPERLINK("http://www.eatonpowersource.com/products/configure/industrial%20valves/details/871855","871855")</f>
        <v>871855</v>
      </c>
      <c r="B5853" s="8" t="s">
        <v>5812</v>
      </c>
    </row>
    <row r="5854" spans="1:2" x14ac:dyDescent="0.3">
      <c r="A5854" s="5" t="str">
        <f>HYPERLINK("http://www.eatonpowersource.com/products/configure/industrial%20valves/details/871858","871858")</f>
        <v>871858</v>
      </c>
      <c r="B5854" s="6" t="s">
        <v>5813</v>
      </c>
    </row>
    <row r="5855" spans="1:2" x14ac:dyDescent="0.3">
      <c r="A5855" s="7" t="str">
        <f>HYPERLINK("http://www.eatonpowersource.com/products/configure/industrial%20valves/details/871859","871859")</f>
        <v>871859</v>
      </c>
      <c r="B5855" s="8" t="s">
        <v>5814</v>
      </c>
    </row>
    <row r="5856" spans="1:2" x14ac:dyDescent="0.3">
      <c r="A5856" s="5" t="str">
        <f>HYPERLINK("http://www.eatonpowersource.com/products/configure/industrial%20valves/details/871871","871871")</f>
        <v>871871</v>
      </c>
      <c r="B5856" s="6" t="s">
        <v>5815</v>
      </c>
    </row>
    <row r="5857" spans="1:2" x14ac:dyDescent="0.3">
      <c r="A5857" s="7" t="str">
        <f>HYPERLINK("http://www.eatonpowersource.com/products/configure/industrial%20valves/details/871887","871887")</f>
        <v>871887</v>
      </c>
      <c r="B5857" s="8" t="s">
        <v>5816</v>
      </c>
    </row>
    <row r="5858" spans="1:2" x14ac:dyDescent="0.3">
      <c r="A5858" s="5" t="str">
        <f>HYPERLINK("http://www.eatonpowersource.com/products/configure/industrial%20valves/details/871913","871913")</f>
        <v>871913</v>
      </c>
      <c r="B5858" s="6" t="s">
        <v>5817</v>
      </c>
    </row>
    <row r="5859" spans="1:2" x14ac:dyDescent="0.3">
      <c r="A5859" s="7" t="str">
        <f>HYPERLINK("http://www.eatonpowersource.com/products/configure/industrial%20valves/details/872000","872000")</f>
        <v>872000</v>
      </c>
      <c r="B5859" s="8" t="s">
        <v>5818</v>
      </c>
    </row>
    <row r="5860" spans="1:2" x14ac:dyDescent="0.3">
      <c r="A5860" s="5" t="str">
        <f>HYPERLINK("http://www.eatonpowersource.com/products/configure/industrial%20valves/details/872172","872172")</f>
        <v>872172</v>
      </c>
      <c r="B5860" s="6" t="s">
        <v>5819</v>
      </c>
    </row>
    <row r="5861" spans="1:2" x14ac:dyDescent="0.3">
      <c r="A5861" s="7" t="str">
        <f>HYPERLINK("http://www.eatonpowersource.com/products/configure/industrial%20valves/details/872178","872178")</f>
        <v>872178</v>
      </c>
      <c r="B5861" s="8" t="s">
        <v>5820</v>
      </c>
    </row>
    <row r="5862" spans="1:2" x14ac:dyDescent="0.3">
      <c r="A5862" s="5" t="str">
        <f>HYPERLINK("http://www.eatonpowersource.com/products/configure/industrial%20valves/details/872179","872179")</f>
        <v>872179</v>
      </c>
      <c r="B5862" s="6" t="s">
        <v>5821</v>
      </c>
    </row>
    <row r="5863" spans="1:2" x14ac:dyDescent="0.3">
      <c r="A5863" s="7" t="str">
        <f>HYPERLINK("http://www.eatonpowersource.com/products/configure/industrial%20valves/details/872200","872200")</f>
        <v>872200</v>
      </c>
      <c r="B5863" s="8" t="s">
        <v>5822</v>
      </c>
    </row>
    <row r="5864" spans="1:2" x14ac:dyDescent="0.3">
      <c r="A5864" s="5" t="str">
        <f>HYPERLINK("http://www.eatonpowersource.com/products/configure/industrial%20valves/details/02-108281","02-108281")</f>
        <v>02-108281</v>
      </c>
      <c r="B5864" s="6" t="s">
        <v>5823</v>
      </c>
    </row>
    <row r="5865" spans="1:2" x14ac:dyDescent="0.3">
      <c r="A5865" s="7" t="str">
        <f>HYPERLINK("http://www.eatonpowersource.com/products/configure/industrial%20valves/details/02-108555","02-108555")</f>
        <v>02-108555</v>
      </c>
      <c r="B5865" s="8" t="s">
        <v>5824</v>
      </c>
    </row>
    <row r="5866" spans="1:2" x14ac:dyDescent="0.3">
      <c r="A5866" s="5" t="str">
        <f>HYPERLINK("http://www.eatonpowersource.com/products/configure/industrial%20valves/details/02-110056","02-110056")</f>
        <v>02-110056</v>
      </c>
      <c r="B5866" s="6" t="s">
        <v>5825</v>
      </c>
    </row>
    <row r="5867" spans="1:2" x14ac:dyDescent="0.3">
      <c r="A5867" s="7" t="str">
        <f>HYPERLINK("http://www.eatonpowersource.com/products/configure/industrial%20valves/details/02-137954","02-137954")</f>
        <v>02-137954</v>
      </c>
      <c r="B5867" s="8" t="s">
        <v>5826</v>
      </c>
    </row>
    <row r="5868" spans="1:2" x14ac:dyDescent="0.3">
      <c r="A5868" s="5" t="str">
        <f>HYPERLINK("http://www.eatonpowersource.com/products/configure/industrial%20valves/details/02-139686","02-139686")</f>
        <v>02-139686</v>
      </c>
      <c r="B5868" s="6" t="s">
        <v>5827</v>
      </c>
    </row>
    <row r="5869" spans="1:2" x14ac:dyDescent="0.3">
      <c r="A5869" s="7" t="str">
        <f>HYPERLINK("http://www.eatonpowersource.com/products/configure/industrial%20valves/details/02-146425","02-146425")</f>
        <v>02-146425</v>
      </c>
      <c r="B5869" s="8" t="s">
        <v>5828</v>
      </c>
    </row>
    <row r="5870" spans="1:2" x14ac:dyDescent="0.3">
      <c r="A5870" s="5" t="str">
        <f>HYPERLINK("http://www.eatonpowersource.com/products/configure/industrial%20valves/details/02-156313","02-156313")</f>
        <v>02-156313</v>
      </c>
      <c r="B5870" s="6" t="s">
        <v>5829</v>
      </c>
    </row>
    <row r="5871" spans="1:2" x14ac:dyDescent="0.3">
      <c r="A5871" s="7" t="str">
        <f>HYPERLINK("http://www.eatonpowersource.com/products/configure/industrial%20valves/details/02-156314","02-156314")</f>
        <v>02-156314</v>
      </c>
      <c r="B5871" s="8" t="s">
        <v>5830</v>
      </c>
    </row>
    <row r="5872" spans="1:2" x14ac:dyDescent="0.3">
      <c r="A5872" s="5" t="str">
        <f>HYPERLINK("http://www.eatonpowersource.com/products/configure/industrial%20valves/details/02-156315","02-156315")</f>
        <v>02-156315</v>
      </c>
      <c r="B5872" s="6" t="s">
        <v>5831</v>
      </c>
    </row>
    <row r="5873" spans="1:2" x14ac:dyDescent="0.3">
      <c r="A5873" s="7" t="str">
        <f>HYPERLINK("http://www.eatonpowersource.com/products/configure/industrial%20valves/details/02-156486","02-156486")</f>
        <v>02-156486</v>
      </c>
      <c r="B5873" s="8" t="s">
        <v>5832</v>
      </c>
    </row>
    <row r="5874" spans="1:2" x14ac:dyDescent="0.3">
      <c r="A5874" s="5" t="str">
        <f>HYPERLINK("http://www.eatonpowersource.com/products/configure/industrial%20valves/details/02-156491","02-156491")</f>
        <v>02-156491</v>
      </c>
      <c r="B5874" s="6" t="s">
        <v>5833</v>
      </c>
    </row>
    <row r="5875" spans="1:2" x14ac:dyDescent="0.3">
      <c r="A5875" s="7" t="str">
        <f>HYPERLINK("http://www.eatonpowersource.com/products/configure/industrial%20valves/details/02-156846","02-156846")</f>
        <v>02-156846</v>
      </c>
      <c r="B5875" s="8" t="s">
        <v>5834</v>
      </c>
    </row>
    <row r="5876" spans="1:2" x14ac:dyDescent="0.3">
      <c r="A5876" s="5" t="str">
        <f>HYPERLINK("http://www.eatonpowersource.com/products/configure/industrial%20valves/details/02-156992","02-156992")</f>
        <v>02-156992</v>
      </c>
      <c r="B5876" s="6" t="s">
        <v>5835</v>
      </c>
    </row>
    <row r="5877" spans="1:2" x14ac:dyDescent="0.3">
      <c r="A5877" s="7" t="str">
        <f>HYPERLINK("http://www.eatonpowersource.com/products/configure/industrial%20valves/details/02-157006","02-157006")</f>
        <v>02-157006</v>
      </c>
      <c r="B5877" s="8" t="s">
        <v>5836</v>
      </c>
    </row>
    <row r="5878" spans="1:2" x14ac:dyDescent="0.3">
      <c r="A5878" s="5" t="str">
        <f>HYPERLINK("http://www.eatonpowersource.com/products/configure/industrial%20valves/details/02-157100","02-157100")</f>
        <v>02-157100</v>
      </c>
      <c r="B5878" s="6" t="s">
        <v>5837</v>
      </c>
    </row>
    <row r="5879" spans="1:2" x14ac:dyDescent="0.3">
      <c r="A5879" s="7" t="str">
        <f>HYPERLINK("http://www.eatonpowersource.com/products/configure/industrial%20valves/details/02-157144","02-157144")</f>
        <v>02-157144</v>
      </c>
      <c r="B5879" s="8" t="s">
        <v>5838</v>
      </c>
    </row>
    <row r="5880" spans="1:2" x14ac:dyDescent="0.3">
      <c r="A5880" s="5" t="str">
        <f>HYPERLINK("http://www.eatonpowersource.com/products/configure/industrial%20valves/details/02-157751","02-157751")</f>
        <v>02-157751</v>
      </c>
      <c r="B5880" s="6" t="s">
        <v>5839</v>
      </c>
    </row>
    <row r="5881" spans="1:2" x14ac:dyDescent="0.3">
      <c r="A5881" s="7" t="str">
        <f>HYPERLINK("http://www.eatonpowersource.com/products/configure/industrial%20valves/details/02-301358","02-301358")</f>
        <v>02-301358</v>
      </c>
      <c r="B5881" s="8" t="s">
        <v>5840</v>
      </c>
    </row>
    <row r="5882" spans="1:2" x14ac:dyDescent="0.3">
      <c r="A5882" s="5" t="str">
        <f>HYPERLINK("http://www.eatonpowersource.com/products/configure/industrial%20valves/details/02-301359","02-301359")</f>
        <v>02-301359</v>
      </c>
      <c r="B5882" s="6" t="s">
        <v>5841</v>
      </c>
    </row>
    <row r="5883" spans="1:2" x14ac:dyDescent="0.3">
      <c r="A5883" s="7" t="str">
        <f>HYPERLINK("http://www.eatonpowersource.com/products/configure/industrial%20valves/details/02-301360","02-301360")</f>
        <v>02-301360</v>
      </c>
      <c r="B5883" s="8" t="s">
        <v>5842</v>
      </c>
    </row>
    <row r="5884" spans="1:2" x14ac:dyDescent="0.3">
      <c r="A5884" s="5" t="str">
        <f>HYPERLINK("http://www.eatonpowersource.com/products/configure/industrial%20valves/details/02-310576","02-310576")</f>
        <v>02-310576</v>
      </c>
      <c r="B5884" s="6" t="s">
        <v>5843</v>
      </c>
    </row>
    <row r="5885" spans="1:2" x14ac:dyDescent="0.3">
      <c r="A5885" s="7" t="str">
        <f>HYPERLINK("http://www.eatonpowersource.com/products/configure/industrial%20valves/details/02-312418","02-312418")</f>
        <v>02-312418</v>
      </c>
      <c r="B5885" s="8" t="s">
        <v>5844</v>
      </c>
    </row>
    <row r="5886" spans="1:2" x14ac:dyDescent="0.3">
      <c r="A5886" s="5" t="str">
        <f>HYPERLINK("http://www.eatonpowersource.com/products/configure/industrial%20valves/details/02-319614","02-319614")</f>
        <v>02-319614</v>
      </c>
      <c r="B5886" s="6" t="s">
        <v>5845</v>
      </c>
    </row>
    <row r="5887" spans="1:2" x14ac:dyDescent="0.3">
      <c r="A5887" s="7" t="str">
        <f>HYPERLINK("http://www.eatonpowersource.com/products/configure/industrial%20valves/details/02-330085","02-330085")</f>
        <v>02-330085</v>
      </c>
      <c r="B5887" s="8" t="s">
        <v>5846</v>
      </c>
    </row>
    <row r="5888" spans="1:2" x14ac:dyDescent="0.3">
      <c r="A5888" s="5" t="str">
        <f>HYPERLINK("http://www.eatonpowersource.com/products/configure/industrial%20valves/details/02-332619","02-332619")</f>
        <v>02-332619</v>
      </c>
      <c r="B5888" s="6" t="s">
        <v>5847</v>
      </c>
    </row>
    <row r="5889" spans="1:2" x14ac:dyDescent="0.3">
      <c r="A5889" s="7" t="str">
        <f>HYPERLINK("http://www.eatonpowersource.com/products/configure/industrial%20valves/details/02-333983","02-333983")</f>
        <v>02-333983</v>
      </c>
      <c r="B5889" s="8" t="s">
        <v>5848</v>
      </c>
    </row>
    <row r="5890" spans="1:2" x14ac:dyDescent="0.3">
      <c r="A5890" s="5" t="str">
        <f>HYPERLINK("http://www.eatonpowersource.com/products/configure/industrial%20valves/details/02-343658","02-343658")</f>
        <v>02-343658</v>
      </c>
      <c r="B5890" s="6" t="s">
        <v>5849</v>
      </c>
    </row>
    <row r="5891" spans="1:2" x14ac:dyDescent="0.3">
      <c r="A5891" s="7" t="str">
        <f>HYPERLINK("http://www.eatonpowersource.com/products/configure/industrial%20valves/details/02-351243","02-351243")</f>
        <v>02-351243</v>
      </c>
      <c r="B5891" s="8" t="s">
        <v>5850</v>
      </c>
    </row>
    <row r="5892" spans="1:2" x14ac:dyDescent="0.3">
      <c r="A5892" s="5" t="str">
        <f>HYPERLINK("http://www.eatonpowersource.com/products/configure/industrial%20valves/details/02-352732","02-352732")</f>
        <v>02-352732</v>
      </c>
      <c r="B5892" s="6" t="s">
        <v>5851</v>
      </c>
    </row>
    <row r="5893" spans="1:2" x14ac:dyDescent="0.3">
      <c r="A5893" s="7" t="str">
        <f>HYPERLINK("http://www.eatonpowersource.com/products/configure/industrial%20valves/details/02-352761","02-352761")</f>
        <v>02-352761</v>
      </c>
      <c r="B5893" s="8" t="s">
        <v>5852</v>
      </c>
    </row>
    <row r="5894" spans="1:2" x14ac:dyDescent="0.3">
      <c r="A5894" s="5" t="str">
        <f>HYPERLINK("http://www.eatonpowersource.com/products/configure/industrial%20valves/details/02-353615","02-353615")</f>
        <v>02-353615</v>
      </c>
      <c r="B5894" s="6" t="s">
        <v>5853</v>
      </c>
    </row>
    <row r="5895" spans="1:2" x14ac:dyDescent="0.3">
      <c r="A5895" s="7" t="str">
        <f>HYPERLINK("http://www.eatonpowersource.com/products/configure/industrial%20valves/details/02-354333","02-354333")</f>
        <v>02-354333</v>
      </c>
      <c r="B5895" s="8" t="s">
        <v>5854</v>
      </c>
    </row>
    <row r="5896" spans="1:2" x14ac:dyDescent="0.3">
      <c r="A5896" s="5" t="str">
        <f>HYPERLINK("http://www.eatonpowersource.com/products/configure/industrial%20valves/details/02-354908","02-354908")</f>
        <v>02-354908</v>
      </c>
      <c r="B5896" s="6" t="s">
        <v>5855</v>
      </c>
    </row>
    <row r="5897" spans="1:2" x14ac:dyDescent="0.3">
      <c r="A5897" s="7" t="str">
        <f>HYPERLINK("http://www.eatonpowersource.com/products/configure/industrial%20valves/details/02-359382","02-359382")</f>
        <v>02-359382</v>
      </c>
      <c r="B5897" s="8" t="s">
        <v>5856</v>
      </c>
    </row>
    <row r="5898" spans="1:2" x14ac:dyDescent="0.3">
      <c r="A5898" s="5" t="str">
        <f>HYPERLINK("http://www.eatonpowersource.com/products/configure/industrial%20valves/details/02-363409","02-363409")</f>
        <v>02-363409</v>
      </c>
      <c r="B5898" s="6" t="s">
        <v>5857</v>
      </c>
    </row>
    <row r="5899" spans="1:2" x14ac:dyDescent="0.3">
      <c r="A5899" s="7" t="str">
        <f>HYPERLINK("http://www.eatonpowersource.com/products/configure/industrial%20valves/details/02-364683","02-364683")</f>
        <v>02-364683</v>
      </c>
      <c r="B5899" s="8" t="s">
        <v>5858</v>
      </c>
    </row>
    <row r="5900" spans="1:2" x14ac:dyDescent="0.3">
      <c r="A5900" s="5" t="str">
        <f>HYPERLINK("http://www.eatonpowersource.com/products/configure/industrial%20valves/details/02-396856","02-396856")</f>
        <v>02-396856</v>
      </c>
      <c r="B5900" s="6" t="s">
        <v>5859</v>
      </c>
    </row>
    <row r="5901" spans="1:2" x14ac:dyDescent="0.3">
      <c r="A5901" s="7" t="str">
        <f>HYPERLINK("http://www.eatonpowersource.com/products/configure/industrial%20valves/details/02-397811","02-397811")</f>
        <v>02-397811</v>
      </c>
      <c r="B5901" s="8" t="s">
        <v>5860</v>
      </c>
    </row>
    <row r="5902" spans="1:2" x14ac:dyDescent="0.3">
      <c r="A5902" s="5" t="str">
        <f>HYPERLINK("http://www.eatonpowersource.com/products/configure/industrial%20valves/details/02-397812","02-397812")</f>
        <v>02-397812</v>
      </c>
      <c r="B5902" s="6" t="s">
        <v>5861</v>
      </c>
    </row>
    <row r="5903" spans="1:2" x14ac:dyDescent="0.3">
      <c r="A5903" s="7" t="str">
        <f>HYPERLINK("http://www.eatonpowersource.com/products/configure/industrial%20valves/details/02-399236","02-399236")</f>
        <v>02-399236</v>
      </c>
      <c r="B5903" s="8" t="s">
        <v>5862</v>
      </c>
    </row>
    <row r="5904" spans="1:2" x14ac:dyDescent="0.3">
      <c r="A5904" s="5" t="str">
        <f>HYPERLINK("http://www.eatonpowersource.com/products/configure/industrial%20valves/details/02-400431","02-400431")</f>
        <v>02-400431</v>
      </c>
      <c r="B5904" s="6" t="s">
        <v>5863</v>
      </c>
    </row>
    <row r="5905" spans="1:2" x14ac:dyDescent="0.3">
      <c r="A5905" s="7" t="str">
        <f>HYPERLINK("http://www.eatonpowersource.com/products/configure/industrial%20valves/details/02-400628","02-400628")</f>
        <v>02-400628</v>
      </c>
      <c r="B5905" s="8" t="s">
        <v>5864</v>
      </c>
    </row>
    <row r="5906" spans="1:2" x14ac:dyDescent="0.3">
      <c r="A5906" s="5" t="str">
        <f>HYPERLINK("http://www.eatonpowersource.com/products/configure/industrial%20valves/details/02-411276","02-411276")</f>
        <v>02-411276</v>
      </c>
      <c r="B5906" s="6" t="s">
        <v>5865</v>
      </c>
    </row>
    <row r="5907" spans="1:2" x14ac:dyDescent="0.3">
      <c r="A5907" s="7" t="str">
        <f>HYPERLINK("http://www.eatonpowersource.com/products/configure/industrial%20valves/details/02-412695","02-412695")</f>
        <v>02-412695</v>
      </c>
      <c r="B5907" s="8" t="s">
        <v>5866</v>
      </c>
    </row>
    <row r="5908" spans="1:2" x14ac:dyDescent="0.3">
      <c r="A5908" s="5" t="str">
        <f>HYPERLINK("http://www.eatonpowersource.com/products/configure/industrial%20valves/details/02-413179","02-413179")</f>
        <v>02-413179</v>
      </c>
      <c r="B5908" s="6" t="s">
        <v>5867</v>
      </c>
    </row>
    <row r="5909" spans="1:2" x14ac:dyDescent="0.3">
      <c r="A5909" s="7" t="str">
        <f>HYPERLINK("http://www.eatonpowersource.com/products/configure/industrial%20valves/details/02-413181","02-413181")</f>
        <v>02-413181</v>
      </c>
      <c r="B5909" s="8" t="s">
        <v>5868</v>
      </c>
    </row>
    <row r="5910" spans="1:2" x14ac:dyDescent="0.3">
      <c r="A5910" s="5" t="str">
        <f>HYPERLINK("http://www.eatonpowersource.com/products/configure/industrial%20valves/details/02-413183","02-413183")</f>
        <v>02-413183</v>
      </c>
      <c r="B5910" s="6" t="s">
        <v>5869</v>
      </c>
    </row>
    <row r="5911" spans="1:2" x14ac:dyDescent="0.3">
      <c r="A5911" s="7" t="str">
        <f>HYPERLINK("http://www.eatonpowersource.com/products/configure/industrial%20valves/details/6040506-001","6040506-001")</f>
        <v>6040506-001</v>
      </c>
      <c r="B5911" s="8" t="s">
        <v>5870</v>
      </c>
    </row>
    <row r="5912" spans="1:2" x14ac:dyDescent="0.3">
      <c r="A5912" s="5" t="str">
        <f>HYPERLINK("http://www.eatonpowersource.com/products/configure/industrial%20valves/details/843an00008a","843AN00008A")</f>
        <v>843AN00008A</v>
      </c>
      <c r="B5912" s="6" t="s">
        <v>5871</v>
      </c>
    </row>
    <row r="5913" spans="1:2" x14ac:dyDescent="0.3">
      <c r="A5913" s="7" t="str">
        <f>HYPERLINK("http://www.eatonpowersource.com/products/configure/industrial%20valves/details/843an00009a","843AN00009A")</f>
        <v>843AN00009A</v>
      </c>
      <c r="B5913" s="8" t="s">
        <v>5872</v>
      </c>
    </row>
    <row r="5914" spans="1:2" x14ac:dyDescent="0.3">
      <c r="A5914" s="5" t="str">
        <f>HYPERLINK("http://www.eatonpowersource.com/products/configure/industrial%20valves/details/843an00010a","843AN00010A")</f>
        <v>843AN00010A</v>
      </c>
      <c r="B5914" s="6" t="s">
        <v>5873</v>
      </c>
    </row>
    <row r="5915" spans="1:2" x14ac:dyDescent="0.3">
      <c r="A5915" s="7" t="str">
        <f>HYPERLINK("http://www.eatonpowersource.com/products/configure/industrial%20valves/details/843an00012a","843AN00012A")</f>
        <v>843AN00012A</v>
      </c>
      <c r="B5915" s="8" t="s">
        <v>5874</v>
      </c>
    </row>
    <row r="5916" spans="1:2" x14ac:dyDescent="0.3">
      <c r="A5916" s="5" t="str">
        <f>HYPERLINK("http://www.eatonpowersource.com/products/configure/industrial%20valves/details/843an00013a","843AN00013A")</f>
        <v>843AN00013A</v>
      </c>
      <c r="B5916" s="6" t="s">
        <v>5875</v>
      </c>
    </row>
    <row r="5917" spans="1:2" x14ac:dyDescent="0.3">
      <c r="A5917" s="7" t="str">
        <f>HYPERLINK("http://www.eatonpowersource.com/products/configure/industrial%20valves/details/851an00016a","851AN00016A")</f>
        <v>851AN00016A</v>
      </c>
      <c r="B5917" s="8" t="s">
        <v>5876</v>
      </c>
    </row>
    <row r="5918" spans="1:2" x14ac:dyDescent="0.3">
      <c r="A5918" s="5" t="str">
        <f>HYPERLINK("http://www.eatonpowersource.com/products/configure/industrial%20valves/details/859218","859218")</f>
        <v>859218</v>
      </c>
      <c r="B5918" s="6" t="s">
        <v>5877</v>
      </c>
    </row>
    <row r="5919" spans="1:2" x14ac:dyDescent="0.3">
      <c r="A5919" s="7" t="str">
        <f>HYPERLINK("http://www.eatonpowersource.com/products/configure/industrial%20valves/details/859219","859219")</f>
        <v>859219</v>
      </c>
      <c r="B5919" s="8" t="s">
        <v>5878</v>
      </c>
    </row>
    <row r="5920" spans="1:2" x14ac:dyDescent="0.3">
      <c r="A5920" s="5" t="str">
        <f>HYPERLINK("http://www.eatonpowersource.com/products/configure/industrial%20valves/details/870085","870085")</f>
        <v>870085</v>
      </c>
      <c r="B5920" s="6" t="s">
        <v>5879</v>
      </c>
    </row>
    <row r="5921" spans="1:2" x14ac:dyDescent="0.3">
      <c r="A5921" s="7" t="str">
        <f>HYPERLINK("http://www.eatonpowersource.com/products/configure/industrial%20valves/details/870279","870279")</f>
        <v>870279</v>
      </c>
      <c r="B5921" s="8" t="s">
        <v>5880</v>
      </c>
    </row>
    <row r="5922" spans="1:2" x14ac:dyDescent="0.3">
      <c r="A5922" s="5" t="str">
        <f>HYPERLINK("http://www.eatonpowersource.com/products/configure/industrial%20valves/details/870470","870470")</f>
        <v>870470</v>
      </c>
      <c r="B5922" s="6" t="s">
        <v>5881</v>
      </c>
    </row>
    <row r="5923" spans="1:2" x14ac:dyDescent="0.3">
      <c r="A5923" s="7" t="str">
        <f>HYPERLINK("http://www.eatonpowersource.com/products/configure/industrial%20valves/details/870681","870681")</f>
        <v>870681</v>
      </c>
      <c r="B5923" s="8" t="s">
        <v>5882</v>
      </c>
    </row>
    <row r="5924" spans="1:2" x14ac:dyDescent="0.3">
      <c r="A5924" s="5" t="str">
        <f>HYPERLINK("http://www.eatonpowersource.com/products/configure/industrial%20valves/details/02-108132","02-108132")</f>
        <v>02-108132</v>
      </c>
      <c r="B5924" s="6" t="s">
        <v>5883</v>
      </c>
    </row>
    <row r="5925" spans="1:2" x14ac:dyDescent="0.3">
      <c r="A5925" s="7" t="str">
        <f>HYPERLINK("http://www.eatonpowersource.com/products/configure/industrial%20valves/details/02-108133","02-108133")</f>
        <v>02-108133</v>
      </c>
      <c r="B5925" s="8" t="s">
        <v>5884</v>
      </c>
    </row>
    <row r="5926" spans="1:2" x14ac:dyDescent="0.3">
      <c r="A5926" s="5" t="str">
        <f>HYPERLINK("http://www.eatonpowersource.com/products/configure/industrial%20valves/details/02-108382","02-108382")</f>
        <v>02-108382</v>
      </c>
      <c r="B5926" s="6" t="s">
        <v>5885</v>
      </c>
    </row>
    <row r="5927" spans="1:2" x14ac:dyDescent="0.3">
      <c r="A5927" s="7" t="str">
        <f>HYPERLINK("http://www.eatonpowersource.com/products/configure/industrial%20valves/details/02-108384","02-108384")</f>
        <v>02-108384</v>
      </c>
      <c r="B5927" s="8" t="s">
        <v>5886</v>
      </c>
    </row>
    <row r="5928" spans="1:2" x14ac:dyDescent="0.3">
      <c r="A5928" s="5" t="str">
        <f>HYPERLINK("http://www.eatonpowersource.com/products/configure/industrial%20valves/details/02-108538","02-108538")</f>
        <v>02-108538</v>
      </c>
      <c r="B5928" s="6" t="s">
        <v>5887</v>
      </c>
    </row>
    <row r="5929" spans="1:2" x14ac:dyDescent="0.3">
      <c r="A5929" s="7" t="str">
        <f>HYPERLINK("http://www.eatonpowersource.com/products/configure/industrial%20valves/details/02-108578","02-108578")</f>
        <v>02-108578</v>
      </c>
      <c r="B5929" s="8" t="s">
        <v>5888</v>
      </c>
    </row>
    <row r="5930" spans="1:2" x14ac:dyDescent="0.3">
      <c r="A5930" s="5" t="str">
        <f>HYPERLINK("http://www.eatonpowersource.com/products/configure/industrial%20valves/details/02-108716","02-108716")</f>
        <v>02-108716</v>
      </c>
      <c r="B5930" s="6" t="s">
        <v>5889</v>
      </c>
    </row>
    <row r="5931" spans="1:2" x14ac:dyDescent="0.3">
      <c r="A5931" s="7" t="str">
        <f>HYPERLINK("http://www.eatonpowersource.com/products/configure/industrial%20valves/details/02-108794","02-108794")</f>
        <v>02-108794</v>
      </c>
      <c r="B5931" s="8" t="s">
        <v>5890</v>
      </c>
    </row>
    <row r="5932" spans="1:2" x14ac:dyDescent="0.3">
      <c r="A5932" s="5" t="str">
        <f>HYPERLINK("http://www.eatonpowersource.com/products/configure/industrial%20valves/details/02-108917","02-108917")</f>
        <v>02-108917</v>
      </c>
      <c r="B5932" s="6" t="s">
        <v>5891</v>
      </c>
    </row>
    <row r="5933" spans="1:2" x14ac:dyDescent="0.3">
      <c r="A5933" s="7" t="str">
        <f>HYPERLINK("http://www.eatonpowersource.com/products/configure/industrial%20valves/details/02-108918","02-108918")</f>
        <v>02-108918</v>
      </c>
      <c r="B5933" s="8" t="s">
        <v>5892</v>
      </c>
    </row>
    <row r="5934" spans="1:2" x14ac:dyDescent="0.3">
      <c r="A5934" s="5" t="str">
        <f>HYPERLINK("http://www.eatonpowersource.com/products/configure/industrial%20valves/details/02-108919","02-108919")</f>
        <v>02-108919</v>
      </c>
      <c r="B5934" s="6" t="s">
        <v>5893</v>
      </c>
    </row>
    <row r="5935" spans="1:2" x14ac:dyDescent="0.3">
      <c r="A5935" s="7" t="str">
        <f>HYPERLINK("http://www.eatonpowersource.com/products/configure/industrial%20valves/details/02-108921","02-108921")</f>
        <v>02-108921</v>
      </c>
      <c r="B5935" s="8" t="s">
        <v>5894</v>
      </c>
    </row>
    <row r="5936" spans="1:2" x14ac:dyDescent="0.3">
      <c r="A5936" s="5" t="str">
        <f>HYPERLINK("http://www.eatonpowersource.com/products/configure/industrial%20valves/details/02-109142","02-109142")</f>
        <v>02-109142</v>
      </c>
      <c r="B5936" s="6" t="s">
        <v>5895</v>
      </c>
    </row>
    <row r="5937" spans="1:2" x14ac:dyDescent="0.3">
      <c r="A5937" s="7" t="str">
        <f>HYPERLINK("http://www.eatonpowersource.com/products/configure/industrial%20valves/details/02-109350","02-109350")</f>
        <v>02-109350</v>
      </c>
      <c r="B5937" s="8" t="s">
        <v>5896</v>
      </c>
    </row>
    <row r="5938" spans="1:2" x14ac:dyDescent="0.3">
      <c r="A5938" s="5" t="str">
        <f>HYPERLINK("http://www.eatonpowersource.com/products/configure/industrial%20valves/details/02-109351","02-109351")</f>
        <v>02-109351</v>
      </c>
      <c r="B5938" s="6" t="s">
        <v>5897</v>
      </c>
    </row>
    <row r="5939" spans="1:2" x14ac:dyDescent="0.3">
      <c r="A5939" s="7" t="str">
        <f>HYPERLINK("http://www.eatonpowersource.com/products/configure/industrial%20valves/details/02-109352","02-109352")</f>
        <v>02-109352</v>
      </c>
      <c r="B5939" s="8" t="s">
        <v>5898</v>
      </c>
    </row>
    <row r="5940" spans="1:2" x14ac:dyDescent="0.3">
      <c r="A5940" s="5" t="str">
        <f>HYPERLINK("http://www.eatonpowersource.com/products/configure/industrial%20valves/details/02-109353","02-109353")</f>
        <v>02-109353</v>
      </c>
      <c r="B5940" s="6" t="s">
        <v>5899</v>
      </c>
    </row>
    <row r="5941" spans="1:2" x14ac:dyDescent="0.3">
      <c r="A5941" s="7" t="str">
        <f>HYPERLINK("http://www.eatonpowersource.com/products/configure/industrial%20valves/details/02-109585","02-109585")</f>
        <v>02-109585</v>
      </c>
      <c r="B5941" s="8" t="s">
        <v>5900</v>
      </c>
    </row>
    <row r="5942" spans="1:2" x14ac:dyDescent="0.3">
      <c r="A5942" s="5" t="str">
        <f>HYPERLINK("http://www.eatonpowersource.com/products/configure/industrial%20valves/details/02-109847","02-109847")</f>
        <v>02-109847</v>
      </c>
      <c r="B5942" s="6" t="s">
        <v>5901</v>
      </c>
    </row>
    <row r="5943" spans="1:2" x14ac:dyDescent="0.3">
      <c r="A5943" s="7" t="str">
        <f>HYPERLINK("http://www.eatonpowersource.com/products/configure/industrial%20valves/details/02-109849","02-109849")</f>
        <v>02-109849</v>
      </c>
      <c r="B5943" s="8" t="s">
        <v>5902</v>
      </c>
    </row>
    <row r="5944" spans="1:2" x14ac:dyDescent="0.3">
      <c r="A5944" s="5" t="str">
        <f>HYPERLINK("http://www.eatonpowersource.com/products/configure/industrial%20valves/details/02-109850","02-109850")</f>
        <v>02-109850</v>
      </c>
      <c r="B5944" s="6" t="s">
        <v>5903</v>
      </c>
    </row>
    <row r="5945" spans="1:2" x14ac:dyDescent="0.3">
      <c r="A5945" s="7" t="str">
        <f>HYPERLINK("http://www.eatonpowersource.com/products/configure/industrial%20valves/details/02-110994","02-110994")</f>
        <v>02-110994</v>
      </c>
      <c r="B5945" s="8" t="s">
        <v>5904</v>
      </c>
    </row>
    <row r="5946" spans="1:2" x14ac:dyDescent="0.3">
      <c r="A5946" s="5" t="str">
        <f>HYPERLINK("http://www.eatonpowersource.com/products/configure/industrial%20valves/details/02-137854","02-137854")</f>
        <v>02-137854</v>
      </c>
      <c r="B5946" s="6" t="s">
        <v>5905</v>
      </c>
    </row>
    <row r="5947" spans="1:2" x14ac:dyDescent="0.3">
      <c r="A5947" s="7" t="str">
        <f>HYPERLINK("http://www.eatonpowersource.com/products/configure/industrial%20valves/details/02-138055","02-138055")</f>
        <v>02-138055</v>
      </c>
      <c r="B5947" s="8" t="s">
        <v>5906</v>
      </c>
    </row>
    <row r="5948" spans="1:2" x14ac:dyDescent="0.3">
      <c r="A5948" s="5" t="str">
        <f>HYPERLINK("http://www.eatonpowersource.com/products/configure/industrial%20valves/details/02-138102","02-138102")</f>
        <v>02-138102</v>
      </c>
      <c r="B5948" s="6" t="s">
        <v>5907</v>
      </c>
    </row>
    <row r="5949" spans="1:2" x14ac:dyDescent="0.3">
      <c r="A5949" s="7" t="str">
        <f>HYPERLINK("http://www.eatonpowersource.com/products/configure/industrial%20valves/details/02-138107","02-138107")</f>
        <v>02-138107</v>
      </c>
      <c r="B5949" s="8" t="s">
        <v>5908</v>
      </c>
    </row>
    <row r="5950" spans="1:2" x14ac:dyDescent="0.3">
      <c r="A5950" s="5" t="str">
        <f>HYPERLINK("http://www.eatonpowersource.com/products/configure/industrial%20valves/details/02-138108","02-138108")</f>
        <v>02-138108</v>
      </c>
      <c r="B5950" s="6" t="s">
        <v>5909</v>
      </c>
    </row>
    <row r="5951" spans="1:2" x14ac:dyDescent="0.3">
      <c r="A5951" s="7" t="str">
        <f>HYPERLINK("http://www.eatonpowersource.com/products/configure/industrial%20valves/details/02-138202","02-138202")</f>
        <v>02-138202</v>
      </c>
      <c r="B5951" s="8" t="s">
        <v>5910</v>
      </c>
    </row>
    <row r="5952" spans="1:2" x14ac:dyDescent="0.3">
      <c r="A5952" s="5" t="str">
        <f>HYPERLINK("http://www.eatonpowersource.com/products/configure/industrial%20valves/details/02-138383","02-138383")</f>
        <v>02-138383</v>
      </c>
      <c r="B5952" s="6" t="s">
        <v>5911</v>
      </c>
    </row>
    <row r="5953" spans="1:2" x14ac:dyDescent="0.3">
      <c r="A5953" s="7" t="str">
        <f>HYPERLINK("http://www.eatonpowersource.com/products/configure/industrial%20valves/details/02-138524","02-138524")</f>
        <v>02-138524</v>
      </c>
      <c r="B5953" s="8" t="s">
        <v>5912</v>
      </c>
    </row>
    <row r="5954" spans="1:2" x14ac:dyDescent="0.3">
      <c r="A5954" s="5" t="str">
        <f>HYPERLINK("http://www.eatonpowersource.com/products/configure/industrial%20valves/details/02-138527","02-138527")</f>
        <v>02-138527</v>
      </c>
      <c r="B5954" s="6" t="s">
        <v>5913</v>
      </c>
    </row>
    <row r="5955" spans="1:2" x14ac:dyDescent="0.3">
      <c r="A5955" s="7" t="str">
        <f>HYPERLINK("http://www.eatonpowersource.com/products/configure/industrial%20valves/details/02-138528","02-138528")</f>
        <v>02-138528</v>
      </c>
      <c r="B5955" s="8" t="s">
        <v>5914</v>
      </c>
    </row>
    <row r="5956" spans="1:2" x14ac:dyDescent="0.3">
      <c r="A5956" s="5" t="str">
        <f>HYPERLINK("http://www.eatonpowersource.com/products/configure/industrial%20valves/details/02-138529","02-138529")</f>
        <v>02-138529</v>
      </c>
      <c r="B5956" s="6" t="s">
        <v>5915</v>
      </c>
    </row>
    <row r="5957" spans="1:2" x14ac:dyDescent="0.3">
      <c r="A5957" s="7" t="str">
        <f>HYPERLINK("http://www.eatonpowersource.com/products/configure/industrial%20valves/details/02-138605","02-138605")</f>
        <v>02-138605</v>
      </c>
      <c r="B5957" s="8" t="s">
        <v>5916</v>
      </c>
    </row>
    <row r="5958" spans="1:2" x14ac:dyDescent="0.3">
      <c r="A5958" s="5" t="str">
        <f>HYPERLINK("http://www.eatonpowersource.com/products/configure/industrial%20valves/details/02-139087","02-139087")</f>
        <v>02-139087</v>
      </c>
      <c r="B5958" s="6" t="s">
        <v>5917</v>
      </c>
    </row>
    <row r="5959" spans="1:2" x14ac:dyDescent="0.3">
      <c r="A5959" s="7" t="str">
        <f>HYPERLINK("http://www.eatonpowersource.com/products/configure/industrial%20valves/details/02-139088","02-139088")</f>
        <v>02-139088</v>
      </c>
      <c r="B5959" s="8" t="s">
        <v>5918</v>
      </c>
    </row>
    <row r="5960" spans="1:2" x14ac:dyDescent="0.3">
      <c r="A5960" s="5" t="str">
        <f>HYPERLINK("http://www.eatonpowersource.com/products/configure/industrial%20valves/details/02-139089","02-139089")</f>
        <v>02-139089</v>
      </c>
      <c r="B5960" s="6" t="s">
        <v>5919</v>
      </c>
    </row>
    <row r="5961" spans="1:2" x14ac:dyDescent="0.3">
      <c r="A5961" s="7" t="str">
        <f>HYPERLINK("http://www.eatonpowersource.com/products/configure/industrial%20valves/details/02-139090","02-139090")</f>
        <v>02-139090</v>
      </c>
      <c r="B5961" s="8" t="s">
        <v>5920</v>
      </c>
    </row>
    <row r="5962" spans="1:2" x14ac:dyDescent="0.3">
      <c r="A5962" s="5" t="str">
        <f>HYPERLINK("http://www.eatonpowersource.com/products/configure/industrial%20valves/details/02-139091","02-139091")</f>
        <v>02-139091</v>
      </c>
      <c r="B5962" s="6" t="s">
        <v>5921</v>
      </c>
    </row>
    <row r="5963" spans="1:2" x14ac:dyDescent="0.3">
      <c r="A5963" s="7" t="str">
        <f>HYPERLINK("http://www.eatonpowersource.com/products/configure/industrial%20valves/details/02-139196","02-139196")</f>
        <v>02-139196</v>
      </c>
      <c r="B5963" s="8" t="s">
        <v>5922</v>
      </c>
    </row>
    <row r="5964" spans="1:2" x14ac:dyDescent="0.3">
      <c r="A5964" s="5" t="str">
        <f>HYPERLINK("http://www.eatonpowersource.com/products/configure/industrial%20valves/details/02-139461","02-139461")</f>
        <v>02-139461</v>
      </c>
      <c r="B5964" s="6" t="s">
        <v>5923</v>
      </c>
    </row>
    <row r="5965" spans="1:2" x14ac:dyDescent="0.3">
      <c r="A5965" s="7" t="str">
        <f>HYPERLINK("http://www.eatonpowersource.com/products/configure/industrial%20valves/details/02-139464","02-139464")</f>
        <v>02-139464</v>
      </c>
      <c r="B5965" s="8" t="s">
        <v>5924</v>
      </c>
    </row>
    <row r="5966" spans="1:2" x14ac:dyDescent="0.3">
      <c r="A5966" s="5" t="str">
        <f>HYPERLINK("http://www.eatonpowersource.com/products/configure/industrial%20valves/details/02-146000","02-146000")</f>
        <v>02-146000</v>
      </c>
      <c r="B5966" s="6" t="s">
        <v>5925</v>
      </c>
    </row>
    <row r="5967" spans="1:2" x14ac:dyDescent="0.3">
      <c r="A5967" s="7" t="str">
        <f>HYPERLINK("http://www.eatonpowersource.com/products/configure/industrial%20valves/details/02-146266","02-146266")</f>
        <v>02-146266</v>
      </c>
      <c r="B5967" s="8" t="s">
        <v>5926</v>
      </c>
    </row>
    <row r="5968" spans="1:2" x14ac:dyDescent="0.3">
      <c r="A5968" s="5" t="str">
        <f>HYPERLINK("http://www.eatonpowersource.com/products/configure/industrial%20valves/details/02-146370","02-146370")</f>
        <v>02-146370</v>
      </c>
      <c r="B5968" s="6" t="s">
        <v>5927</v>
      </c>
    </row>
    <row r="5969" spans="1:2" x14ac:dyDescent="0.3">
      <c r="A5969" s="7" t="str">
        <f>HYPERLINK("http://www.eatonpowersource.com/products/configure/industrial%20valves/details/02-146626","02-146626")</f>
        <v>02-146626</v>
      </c>
      <c r="B5969" s="8" t="s">
        <v>5928</v>
      </c>
    </row>
    <row r="5970" spans="1:2" x14ac:dyDescent="0.3">
      <c r="A5970" s="5" t="str">
        <f>HYPERLINK("http://www.eatonpowersource.com/products/configure/industrial%20valves/details/02-146670","02-146670")</f>
        <v>02-146670</v>
      </c>
      <c r="B5970" s="6" t="s">
        <v>5929</v>
      </c>
    </row>
    <row r="5971" spans="1:2" x14ac:dyDescent="0.3">
      <c r="A5971" s="7" t="str">
        <f>HYPERLINK("http://www.eatonpowersource.com/products/configure/industrial%20valves/details/02-146671","02-146671")</f>
        <v>02-146671</v>
      </c>
      <c r="B5971" s="8" t="s">
        <v>5930</v>
      </c>
    </row>
    <row r="5972" spans="1:2" x14ac:dyDescent="0.3">
      <c r="A5972" s="5" t="str">
        <f>HYPERLINK("http://www.eatonpowersource.com/products/configure/industrial%20valves/details/02-146681","02-146681")</f>
        <v>02-146681</v>
      </c>
      <c r="B5972" s="6" t="s">
        <v>5931</v>
      </c>
    </row>
    <row r="5973" spans="1:2" x14ac:dyDescent="0.3">
      <c r="A5973" s="7" t="str">
        <f>HYPERLINK("http://www.eatonpowersource.com/products/configure/industrial%20valves/details/02-146913","02-146913")</f>
        <v>02-146913</v>
      </c>
      <c r="B5973" s="8" t="s">
        <v>5932</v>
      </c>
    </row>
    <row r="5974" spans="1:2" x14ac:dyDescent="0.3">
      <c r="A5974" s="5" t="str">
        <f>HYPERLINK("http://www.eatonpowersource.com/products/configure/industrial%20valves/details/02-146949","02-146949")</f>
        <v>02-146949</v>
      </c>
      <c r="B5974" s="6" t="s">
        <v>5933</v>
      </c>
    </row>
    <row r="5975" spans="1:2" x14ac:dyDescent="0.3">
      <c r="A5975" s="7" t="str">
        <f>HYPERLINK("http://www.eatonpowersource.com/products/configure/industrial%20valves/details/02-146975","02-146975")</f>
        <v>02-146975</v>
      </c>
      <c r="B5975" s="8" t="s">
        <v>5934</v>
      </c>
    </row>
    <row r="5976" spans="1:2" x14ac:dyDescent="0.3">
      <c r="A5976" s="5" t="str">
        <f>HYPERLINK("http://www.eatonpowersource.com/products/configure/industrial%20valves/details/02-147061","02-147061")</f>
        <v>02-147061</v>
      </c>
      <c r="B5976" s="6" t="s">
        <v>5935</v>
      </c>
    </row>
    <row r="5977" spans="1:2" x14ac:dyDescent="0.3">
      <c r="A5977" s="7" t="str">
        <f>HYPERLINK("http://www.eatonpowersource.com/products/configure/industrial%20valves/details/02-147185","02-147185")</f>
        <v>02-147185</v>
      </c>
      <c r="B5977" s="8" t="s">
        <v>5936</v>
      </c>
    </row>
    <row r="5978" spans="1:2" x14ac:dyDescent="0.3">
      <c r="A5978" s="5" t="str">
        <f>HYPERLINK("http://www.eatonpowersource.com/products/configure/industrial%20valves/details/02-147248","02-147248")</f>
        <v>02-147248</v>
      </c>
      <c r="B5978" s="6" t="s">
        <v>5937</v>
      </c>
    </row>
    <row r="5979" spans="1:2" x14ac:dyDescent="0.3">
      <c r="A5979" s="7" t="str">
        <f>HYPERLINK("http://www.eatonpowersource.com/products/configure/industrial%20valves/details/02-147342","02-147342")</f>
        <v>02-147342</v>
      </c>
      <c r="B5979" s="8" t="s">
        <v>5938</v>
      </c>
    </row>
    <row r="5980" spans="1:2" x14ac:dyDescent="0.3">
      <c r="A5980" s="5" t="str">
        <f>HYPERLINK("http://www.eatonpowersource.com/products/configure/industrial%20valves/details/02-147387","02-147387")</f>
        <v>02-147387</v>
      </c>
      <c r="B5980" s="6" t="s">
        <v>5939</v>
      </c>
    </row>
    <row r="5981" spans="1:2" x14ac:dyDescent="0.3">
      <c r="A5981" s="7" t="str">
        <f>HYPERLINK("http://www.eatonpowersource.com/products/configure/industrial%20valves/details/02-147390","02-147390")</f>
        <v>02-147390</v>
      </c>
      <c r="B5981" s="8" t="s">
        <v>5940</v>
      </c>
    </row>
    <row r="5982" spans="1:2" x14ac:dyDescent="0.3">
      <c r="A5982" s="5" t="str">
        <f>HYPERLINK("http://www.eatonpowersource.com/products/configure/industrial%20valves/details/02-147590","02-147590")</f>
        <v>02-147590</v>
      </c>
      <c r="B5982" s="6" t="s">
        <v>5941</v>
      </c>
    </row>
    <row r="5983" spans="1:2" x14ac:dyDescent="0.3">
      <c r="A5983" s="7" t="str">
        <f>HYPERLINK("http://www.eatonpowersource.com/products/configure/industrial%20valves/details/02-147635","02-147635")</f>
        <v>02-147635</v>
      </c>
      <c r="B5983" s="8" t="s">
        <v>5942</v>
      </c>
    </row>
    <row r="5984" spans="1:2" x14ac:dyDescent="0.3">
      <c r="A5984" s="5" t="str">
        <f>HYPERLINK("http://www.eatonpowersource.com/products/configure/industrial%20valves/details/02-156056","02-156056")</f>
        <v>02-156056</v>
      </c>
      <c r="B5984" s="6" t="s">
        <v>5943</v>
      </c>
    </row>
    <row r="5985" spans="1:2" x14ac:dyDescent="0.3">
      <c r="A5985" s="7" t="str">
        <f>HYPERLINK("http://www.eatonpowersource.com/products/configure/industrial%20valves/details/02-156057","02-156057")</f>
        <v>02-156057</v>
      </c>
      <c r="B5985" s="8" t="s">
        <v>5944</v>
      </c>
    </row>
    <row r="5986" spans="1:2" x14ac:dyDescent="0.3">
      <c r="A5986" s="5" t="str">
        <f>HYPERLINK("http://www.eatonpowersource.com/products/configure/industrial%20valves/details/02-156058","02-156058")</f>
        <v>02-156058</v>
      </c>
      <c r="B5986" s="6" t="s">
        <v>5945</v>
      </c>
    </row>
    <row r="5987" spans="1:2" x14ac:dyDescent="0.3">
      <c r="A5987" s="7" t="str">
        <f>HYPERLINK("http://www.eatonpowersource.com/products/configure/industrial%20valves/details/02-156059","02-156059")</f>
        <v>02-156059</v>
      </c>
      <c r="B5987" s="8" t="s">
        <v>5946</v>
      </c>
    </row>
    <row r="5988" spans="1:2" x14ac:dyDescent="0.3">
      <c r="A5988" s="5" t="str">
        <f>HYPERLINK("http://www.eatonpowersource.com/products/configure/industrial%20valves/details/02-156097","02-156097")</f>
        <v>02-156097</v>
      </c>
      <c r="B5988" s="6" t="s">
        <v>5947</v>
      </c>
    </row>
    <row r="5989" spans="1:2" x14ac:dyDescent="0.3">
      <c r="A5989" s="7" t="str">
        <f>HYPERLINK("http://www.eatonpowersource.com/products/configure/industrial%20valves/details/02-156422","02-156422")</f>
        <v>02-156422</v>
      </c>
      <c r="B5989" s="8" t="s">
        <v>5948</v>
      </c>
    </row>
    <row r="5990" spans="1:2" x14ac:dyDescent="0.3">
      <c r="A5990" s="5" t="str">
        <f>HYPERLINK("http://www.eatonpowersource.com/products/configure/industrial%20valves/details/02-156427","02-156427")</f>
        <v>02-156427</v>
      </c>
      <c r="B5990" s="6" t="s">
        <v>5949</v>
      </c>
    </row>
    <row r="5991" spans="1:2" x14ac:dyDescent="0.3">
      <c r="A5991" s="7" t="str">
        <f>HYPERLINK("http://www.eatonpowersource.com/products/configure/industrial%20valves/details/02-156786","02-156786")</f>
        <v>02-156786</v>
      </c>
      <c r="B5991" s="8" t="s">
        <v>5950</v>
      </c>
    </row>
    <row r="5992" spans="1:2" x14ac:dyDescent="0.3">
      <c r="A5992" s="5" t="str">
        <f>HYPERLINK("http://www.eatonpowersource.com/products/configure/industrial%20valves/details/02-156815","02-156815")</f>
        <v>02-156815</v>
      </c>
      <c r="B5992" s="6" t="s">
        <v>5951</v>
      </c>
    </row>
    <row r="5993" spans="1:2" x14ac:dyDescent="0.3">
      <c r="A5993" s="7" t="str">
        <f>HYPERLINK("http://www.eatonpowersource.com/products/configure/industrial%20valves/details/02-156823","02-156823")</f>
        <v>02-156823</v>
      </c>
      <c r="B5993" s="8" t="s">
        <v>5952</v>
      </c>
    </row>
    <row r="5994" spans="1:2" x14ac:dyDescent="0.3">
      <c r="A5994" s="5" t="str">
        <f>HYPERLINK("http://www.eatonpowersource.com/products/configure/industrial%20valves/details/02-156824","02-156824")</f>
        <v>02-156824</v>
      </c>
      <c r="B5994" s="6" t="s">
        <v>5953</v>
      </c>
    </row>
    <row r="5995" spans="1:2" x14ac:dyDescent="0.3">
      <c r="A5995" s="7" t="str">
        <f>HYPERLINK("http://www.eatonpowersource.com/products/configure/industrial%20valves/details/02-156826","02-156826")</f>
        <v>02-156826</v>
      </c>
      <c r="B5995" s="8" t="s">
        <v>5954</v>
      </c>
    </row>
    <row r="5996" spans="1:2" x14ac:dyDescent="0.3">
      <c r="A5996" s="5" t="str">
        <f>HYPERLINK("http://www.eatonpowersource.com/products/configure/industrial%20valves/details/02-157014","02-157014")</f>
        <v>02-157014</v>
      </c>
      <c r="B5996" s="6" t="s">
        <v>5955</v>
      </c>
    </row>
    <row r="5997" spans="1:2" x14ac:dyDescent="0.3">
      <c r="A5997" s="7" t="str">
        <f>HYPERLINK("http://www.eatonpowersource.com/products/configure/industrial%20valves/details/02-157036","02-157036")</f>
        <v>02-157036</v>
      </c>
      <c r="B5997" s="8" t="s">
        <v>5956</v>
      </c>
    </row>
    <row r="5998" spans="1:2" x14ac:dyDescent="0.3">
      <c r="A5998" s="5" t="str">
        <f>HYPERLINK("http://www.eatonpowersource.com/products/configure/industrial%20valves/details/02-157052","02-157052")</f>
        <v>02-157052</v>
      </c>
      <c r="B5998" s="6" t="s">
        <v>5957</v>
      </c>
    </row>
    <row r="5999" spans="1:2" x14ac:dyDescent="0.3">
      <c r="A5999" s="7" t="str">
        <f>HYPERLINK("http://www.eatonpowersource.com/products/configure/industrial%20valves/details/02-157185","02-157185")</f>
        <v>02-157185</v>
      </c>
      <c r="B5999" s="8" t="s">
        <v>5958</v>
      </c>
    </row>
    <row r="6000" spans="1:2" x14ac:dyDescent="0.3">
      <c r="A6000" s="5" t="str">
        <f>HYPERLINK("http://www.eatonpowersource.com/products/configure/industrial%20valves/details/02-157204","02-157204")</f>
        <v>02-157204</v>
      </c>
      <c r="B6000" s="6" t="s">
        <v>5959</v>
      </c>
    </row>
    <row r="6001" spans="1:2" x14ac:dyDescent="0.3">
      <c r="A6001" s="7" t="str">
        <f>HYPERLINK("http://www.eatonpowersource.com/products/configure/industrial%20valves/details/02-157272","02-157272")</f>
        <v>02-157272</v>
      </c>
      <c r="B6001" s="8" t="s">
        <v>5960</v>
      </c>
    </row>
    <row r="6002" spans="1:2" x14ac:dyDescent="0.3">
      <c r="A6002" s="5" t="str">
        <f>HYPERLINK("http://www.eatonpowersource.com/products/configure/industrial%20valves/details/02-157275","02-157275")</f>
        <v>02-157275</v>
      </c>
      <c r="B6002" s="6" t="s">
        <v>5961</v>
      </c>
    </row>
    <row r="6003" spans="1:2" x14ac:dyDescent="0.3">
      <c r="A6003" s="7" t="str">
        <f>HYPERLINK("http://www.eatonpowersource.com/products/configure/industrial%20valves/details/02-157280","02-157280")</f>
        <v>02-157280</v>
      </c>
      <c r="B6003" s="8" t="s">
        <v>5962</v>
      </c>
    </row>
    <row r="6004" spans="1:2" x14ac:dyDescent="0.3">
      <c r="A6004" s="5" t="str">
        <f>HYPERLINK("http://www.eatonpowersource.com/products/configure/industrial%20valves/details/02-157561","02-157561")</f>
        <v>02-157561</v>
      </c>
      <c r="B6004" s="6" t="s">
        <v>5963</v>
      </c>
    </row>
    <row r="6005" spans="1:2" x14ac:dyDescent="0.3">
      <c r="A6005" s="7" t="str">
        <f>HYPERLINK("http://www.eatonpowersource.com/products/configure/industrial%20valves/details/02-157635","02-157635")</f>
        <v>02-157635</v>
      </c>
      <c r="B6005" s="8" t="s">
        <v>5964</v>
      </c>
    </row>
    <row r="6006" spans="1:2" x14ac:dyDescent="0.3">
      <c r="A6006" s="5" t="str">
        <f>HYPERLINK("http://www.eatonpowersource.com/products/configure/industrial%20valves/details/02-157719","02-157719")</f>
        <v>02-157719</v>
      </c>
      <c r="B6006" s="6" t="s">
        <v>5965</v>
      </c>
    </row>
    <row r="6007" spans="1:2" x14ac:dyDescent="0.3">
      <c r="A6007" s="7" t="str">
        <f>HYPERLINK("http://www.eatonpowersource.com/products/configure/industrial%20valves/details/02-157747","02-157747")</f>
        <v>02-157747</v>
      </c>
      <c r="B6007" s="8" t="s">
        <v>5966</v>
      </c>
    </row>
    <row r="6008" spans="1:2" x14ac:dyDescent="0.3">
      <c r="A6008" s="5" t="str">
        <f>HYPERLINK("http://www.eatonpowersource.com/products/configure/industrial%20valves/details/02-157848","02-157848")</f>
        <v>02-157848</v>
      </c>
      <c r="B6008" s="6" t="s">
        <v>5967</v>
      </c>
    </row>
    <row r="6009" spans="1:2" x14ac:dyDescent="0.3">
      <c r="A6009" s="7" t="str">
        <f>HYPERLINK("http://www.eatonpowersource.com/products/configure/industrial%20valves/details/02-157854","02-157854")</f>
        <v>02-157854</v>
      </c>
      <c r="B6009" s="8" t="s">
        <v>5968</v>
      </c>
    </row>
    <row r="6010" spans="1:2" x14ac:dyDescent="0.3">
      <c r="A6010" s="5" t="str">
        <f>HYPERLINK("http://www.eatonpowersource.com/products/configure/industrial%20valves/details/02-157901","02-157901")</f>
        <v>02-157901</v>
      </c>
      <c r="B6010" s="6" t="s">
        <v>5969</v>
      </c>
    </row>
    <row r="6011" spans="1:2" x14ac:dyDescent="0.3">
      <c r="A6011" s="7" t="str">
        <f>HYPERLINK("http://www.eatonpowersource.com/products/configure/industrial%20valves/details/02-310569","02-310569")</f>
        <v>02-310569</v>
      </c>
      <c r="B6011" s="8" t="s">
        <v>5970</v>
      </c>
    </row>
    <row r="6012" spans="1:2" x14ac:dyDescent="0.3">
      <c r="A6012" s="5" t="str">
        <f>HYPERLINK("http://www.eatonpowersource.com/products/configure/industrial%20valves/details/02-310610","02-310610")</f>
        <v>02-310610</v>
      </c>
      <c r="B6012" s="6" t="s">
        <v>5971</v>
      </c>
    </row>
    <row r="6013" spans="1:2" x14ac:dyDescent="0.3">
      <c r="A6013" s="7" t="str">
        <f>HYPERLINK("http://www.eatonpowersource.com/products/configure/industrial%20valves/details/02-310739","02-310739")</f>
        <v>02-310739</v>
      </c>
      <c r="B6013" s="8" t="s">
        <v>5972</v>
      </c>
    </row>
    <row r="6014" spans="1:2" x14ac:dyDescent="0.3">
      <c r="A6014" s="5" t="str">
        <f>HYPERLINK("http://www.eatonpowersource.com/products/configure/industrial%20valves/details/02-310752","02-310752")</f>
        <v>02-310752</v>
      </c>
      <c r="B6014" s="6" t="s">
        <v>5973</v>
      </c>
    </row>
    <row r="6015" spans="1:2" x14ac:dyDescent="0.3">
      <c r="A6015" s="7" t="str">
        <f>HYPERLINK("http://www.eatonpowersource.com/products/configure/industrial%20valves/details/02-310798","02-310798")</f>
        <v>02-310798</v>
      </c>
      <c r="B6015" s="8" t="s">
        <v>5974</v>
      </c>
    </row>
    <row r="6016" spans="1:2" x14ac:dyDescent="0.3">
      <c r="A6016" s="5" t="str">
        <f>HYPERLINK("http://www.eatonpowersource.com/products/configure/industrial%20valves/details/02-310814","02-310814")</f>
        <v>02-310814</v>
      </c>
      <c r="B6016" s="6" t="s">
        <v>5975</v>
      </c>
    </row>
    <row r="6017" spans="1:2" x14ac:dyDescent="0.3">
      <c r="A6017" s="7" t="str">
        <f>HYPERLINK("http://www.eatonpowersource.com/products/configure/industrial%20valves/details/02-310858","02-310858")</f>
        <v>02-310858</v>
      </c>
      <c r="B6017" s="8" t="s">
        <v>5976</v>
      </c>
    </row>
    <row r="6018" spans="1:2" x14ac:dyDescent="0.3">
      <c r="A6018" s="5" t="str">
        <f>HYPERLINK("http://www.eatonpowersource.com/products/configure/industrial%20valves/details/02-310931","02-310931")</f>
        <v>02-310931</v>
      </c>
      <c r="B6018" s="6" t="s">
        <v>5977</v>
      </c>
    </row>
    <row r="6019" spans="1:2" x14ac:dyDescent="0.3">
      <c r="A6019" s="7" t="str">
        <f>HYPERLINK("http://www.eatonpowersource.com/products/configure/industrial%20valves/details/02-310999","02-310999")</f>
        <v>02-310999</v>
      </c>
      <c r="B6019" s="8" t="s">
        <v>5978</v>
      </c>
    </row>
    <row r="6020" spans="1:2" x14ac:dyDescent="0.3">
      <c r="A6020" s="5" t="str">
        <f>HYPERLINK("http://www.eatonpowersource.com/products/configure/industrial%20valves/details/02-311000","02-311000")</f>
        <v>02-311000</v>
      </c>
      <c r="B6020" s="6" t="s">
        <v>5979</v>
      </c>
    </row>
    <row r="6021" spans="1:2" x14ac:dyDescent="0.3">
      <c r="A6021" s="7" t="str">
        <f>HYPERLINK("http://www.eatonpowersource.com/products/configure/industrial%20valves/details/02-311130","02-311130")</f>
        <v>02-311130</v>
      </c>
      <c r="B6021" s="8" t="s">
        <v>5980</v>
      </c>
    </row>
    <row r="6022" spans="1:2" x14ac:dyDescent="0.3">
      <c r="A6022" s="5" t="str">
        <f>HYPERLINK("http://www.eatonpowersource.com/products/configure/industrial%20valves/details/02-311293","02-311293")</f>
        <v>02-311293</v>
      </c>
      <c r="B6022" s="6" t="s">
        <v>5981</v>
      </c>
    </row>
    <row r="6023" spans="1:2" x14ac:dyDescent="0.3">
      <c r="A6023" s="7" t="str">
        <f>HYPERLINK("http://www.eatonpowersource.com/products/configure/industrial%20valves/details/02-311310","02-311310")</f>
        <v>02-311310</v>
      </c>
      <c r="B6023" s="8" t="s">
        <v>5982</v>
      </c>
    </row>
    <row r="6024" spans="1:2" x14ac:dyDescent="0.3">
      <c r="A6024" s="5" t="str">
        <f>HYPERLINK("http://www.eatonpowersource.com/products/configure/industrial%20valves/details/02-311483","02-311483")</f>
        <v>02-311483</v>
      </c>
      <c r="B6024" s="6" t="s">
        <v>5983</v>
      </c>
    </row>
    <row r="6025" spans="1:2" x14ac:dyDescent="0.3">
      <c r="A6025" s="7" t="str">
        <f>HYPERLINK("http://www.eatonpowersource.com/products/configure/industrial%20valves/details/02-311748","02-311748")</f>
        <v>02-311748</v>
      </c>
      <c r="B6025" s="8" t="s">
        <v>5984</v>
      </c>
    </row>
    <row r="6026" spans="1:2" x14ac:dyDescent="0.3">
      <c r="A6026" s="5" t="str">
        <f>HYPERLINK("http://www.eatonpowersource.com/products/configure/industrial%20valves/details/02-311842","02-311842")</f>
        <v>02-311842</v>
      </c>
      <c r="B6026" s="6" t="s">
        <v>5985</v>
      </c>
    </row>
    <row r="6027" spans="1:2" x14ac:dyDescent="0.3">
      <c r="A6027" s="7" t="str">
        <f>HYPERLINK("http://www.eatonpowersource.com/products/configure/industrial%20valves/details/02-311887","02-311887")</f>
        <v>02-311887</v>
      </c>
      <c r="B6027" s="8" t="s">
        <v>5986</v>
      </c>
    </row>
    <row r="6028" spans="1:2" x14ac:dyDescent="0.3">
      <c r="A6028" s="5" t="str">
        <f>HYPERLINK("http://www.eatonpowersource.com/products/configure/industrial%20valves/details/02-311962","02-311962")</f>
        <v>02-311962</v>
      </c>
      <c r="B6028" s="6" t="s">
        <v>5987</v>
      </c>
    </row>
    <row r="6029" spans="1:2" x14ac:dyDescent="0.3">
      <c r="A6029" s="7" t="str">
        <f>HYPERLINK("http://www.eatonpowersource.com/products/configure/industrial%20valves/details/02-311964","02-311964")</f>
        <v>02-311964</v>
      </c>
      <c r="B6029" s="8" t="s">
        <v>5988</v>
      </c>
    </row>
    <row r="6030" spans="1:2" x14ac:dyDescent="0.3">
      <c r="A6030" s="5" t="str">
        <f>HYPERLINK("http://www.eatonpowersource.com/products/configure/industrial%20valves/details/02-311965","02-311965")</f>
        <v>02-311965</v>
      </c>
      <c r="B6030" s="6" t="s">
        <v>5989</v>
      </c>
    </row>
    <row r="6031" spans="1:2" x14ac:dyDescent="0.3">
      <c r="A6031" s="7" t="str">
        <f>HYPERLINK("http://www.eatonpowersource.com/products/configure/industrial%20valves/details/02-312031","02-312031")</f>
        <v>02-312031</v>
      </c>
      <c r="B6031" s="8" t="s">
        <v>5990</v>
      </c>
    </row>
    <row r="6032" spans="1:2" x14ac:dyDescent="0.3">
      <c r="A6032" s="5" t="str">
        <f>HYPERLINK("http://www.eatonpowersource.com/products/configure/industrial%20valves/details/02-312089","02-312089")</f>
        <v>02-312089</v>
      </c>
      <c r="B6032" s="6" t="s">
        <v>5991</v>
      </c>
    </row>
    <row r="6033" spans="1:2" x14ac:dyDescent="0.3">
      <c r="A6033" s="7" t="str">
        <f>HYPERLINK("http://www.eatonpowersource.com/products/configure/industrial%20valves/details/02-312327","02-312327")</f>
        <v>02-312327</v>
      </c>
      <c r="B6033" s="8" t="s">
        <v>5992</v>
      </c>
    </row>
    <row r="6034" spans="1:2" x14ac:dyDescent="0.3">
      <c r="A6034" s="5" t="str">
        <f>HYPERLINK("http://www.eatonpowersource.com/products/configure/industrial%20valves/details/02-312361","02-312361")</f>
        <v>02-312361</v>
      </c>
      <c r="B6034" s="6" t="s">
        <v>5993</v>
      </c>
    </row>
    <row r="6035" spans="1:2" x14ac:dyDescent="0.3">
      <c r="A6035" s="7" t="str">
        <f>HYPERLINK("http://www.eatonpowersource.com/products/configure/industrial%20valves/details/02-312432","02-312432")</f>
        <v>02-312432</v>
      </c>
      <c r="B6035" s="8" t="s">
        <v>5994</v>
      </c>
    </row>
    <row r="6036" spans="1:2" x14ac:dyDescent="0.3">
      <c r="A6036" s="5" t="str">
        <f>HYPERLINK("http://www.eatonpowersource.com/products/configure/industrial%20valves/details/02-318150","02-318150")</f>
        <v>02-318150</v>
      </c>
      <c r="B6036" s="6" t="s">
        <v>5995</v>
      </c>
    </row>
    <row r="6037" spans="1:2" x14ac:dyDescent="0.3">
      <c r="A6037" s="7" t="str">
        <f>HYPERLINK("http://www.eatonpowersource.com/products/configure/industrial%20valves/details/02-318367","02-318367")</f>
        <v>02-318367</v>
      </c>
      <c r="B6037" s="8" t="s">
        <v>5996</v>
      </c>
    </row>
    <row r="6038" spans="1:2" x14ac:dyDescent="0.3">
      <c r="A6038" s="5" t="str">
        <f>HYPERLINK("http://www.eatonpowersource.com/products/configure/industrial%20valves/details/02-318495","02-318495")</f>
        <v>02-318495</v>
      </c>
      <c r="B6038" s="6" t="s">
        <v>5997</v>
      </c>
    </row>
    <row r="6039" spans="1:2" x14ac:dyDescent="0.3">
      <c r="A6039" s="7" t="str">
        <f>HYPERLINK("http://www.eatonpowersource.com/products/configure/industrial%20valves/details/02-319159","02-319159")</f>
        <v>02-319159</v>
      </c>
      <c r="B6039" s="8" t="s">
        <v>5998</v>
      </c>
    </row>
    <row r="6040" spans="1:2" x14ac:dyDescent="0.3">
      <c r="A6040" s="5" t="str">
        <f>HYPERLINK("http://www.eatonpowersource.com/products/configure/industrial%20valves/details/02-319280","02-319280")</f>
        <v>02-319280</v>
      </c>
      <c r="B6040" s="6" t="s">
        <v>5999</v>
      </c>
    </row>
    <row r="6041" spans="1:2" x14ac:dyDescent="0.3">
      <c r="A6041" s="7" t="str">
        <f>HYPERLINK("http://www.eatonpowersource.com/products/configure/industrial%20valves/details/02-319285","02-319285")</f>
        <v>02-319285</v>
      </c>
      <c r="B6041" s="8" t="s">
        <v>6000</v>
      </c>
    </row>
    <row r="6042" spans="1:2" x14ac:dyDescent="0.3">
      <c r="A6042" s="5" t="str">
        <f>HYPERLINK("http://www.eatonpowersource.com/products/configure/industrial%20valves/details/02-319304","02-319304")</f>
        <v>02-319304</v>
      </c>
      <c r="B6042" s="6" t="s">
        <v>6001</v>
      </c>
    </row>
    <row r="6043" spans="1:2" x14ac:dyDescent="0.3">
      <c r="A6043" s="7" t="str">
        <f>HYPERLINK("http://www.eatonpowersource.com/products/configure/industrial%20valves/details/02-319455","02-319455")</f>
        <v>02-319455</v>
      </c>
      <c r="B6043" s="8" t="s">
        <v>6002</v>
      </c>
    </row>
    <row r="6044" spans="1:2" x14ac:dyDescent="0.3">
      <c r="A6044" s="5" t="str">
        <f>HYPERLINK("http://www.eatonpowersource.com/products/configure/industrial%20valves/details/02-319481","02-319481")</f>
        <v>02-319481</v>
      </c>
      <c r="B6044" s="6" t="s">
        <v>6003</v>
      </c>
    </row>
    <row r="6045" spans="1:2" x14ac:dyDescent="0.3">
      <c r="A6045" s="7" t="str">
        <f>HYPERLINK("http://www.eatonpowersource.com/products/configure/industrial%20valves/details/02-323169","02-323169")</f>
        <v>02-323169</v>
      </c>
      <c r="B6045" s="8" t="s">
        <v>6004</v>
      </c>
    </row>
    <row r="6046" spans="1:2" x14ac:dyDescent="0.3">
      <c r="A6046" s="5" t="str">
        <f>HYPERLINK("http://www.eatonpowersource.com/products/configure/industrial%20valves/details/02-323171","02-323171")</f>
        <v>02-323171</v>
      </c>
      <c r="B6046" s="6" t="s">
        <v>6005</v>
      </c>
    </row>
    <row r="6047" spans="1:2" x14ac:dyDescent="0.3">
      <c r="A6047" s="7" t="str">
        <f>HYPERLINK("http://www.eatonpowersource.com/products/configure/industrial%20valves/details/02-323187","02-323187")</f>
        <v>02-323187</v>
      </c>
      <c r="B6047" s="8" t="s">
        <v>6006</v>
      </c>
    </row>
    <row r="6048" spans="1:2" x14ac:dyDescent="0.3">
      <c r="A6048" s="5" t="str">
        <f>HYPERLINK("http://www.eatonpowersource.com/products/configure/industrial%20valves/details/02-323223","02-323223")</f>
        <v>02-323223</v>
      </c>
      <c r="B6048" s="6" t="s">
        <v>6007</v>
      </c>
    </row>
    <row r="6049" spans="1:2" x14ac:dyDescent="0.3">
      <c r="A6049" s="7" t="str">
        <f>HYPERLINK("http://www.eatonpowersource.com/products/configure/industrial%20valves/details/02-323263","02-323263")</f>
        <v>02-323263</v>
      </c>
      <c r="B6049" s="8" t="s">
        <v>6008</v>
      </c>
    </row>
    <row r="6050" spans="1:2" x14ac:dyDescent="0.3">
      <c r="A6050" s="5" t="str">
        <f>HYPERLINK("http://www.eatonpowersource.com/products/configure/industrial%20valves/details/02-323515","02-323515")</f>
        <v>02-323515</v>
      </c>
      <c r="B6050" s="6" t="s">
        <v>6009</v>
      </c>
    </row>
    <row r="6051" spans="1:2" x14ac:dyDescent="0.3">
      <c r="A6051" s="7" t="str">
        <f>HYPERLINK("http://www.eatonpowersource.com/products/configure/industrial%20valves/details/02-332349","02-332349")</f>
        <v>02-332349</v>
      </c>
      <c r="B6051" s="8" t="s">
        <v>6010</v>
      </c>
    </row>
    <row r="6052" spans="1:2" x14ac:dyDescent="0.3">
      <c r="A6052" s="5" t="str">
        <f>HYPERLINK("http://www.eatonpowersource.com/products/configure/industrial%20valves/details/02-332350","02-332350")</f>
        <v>02-332350</v>
      </c>
      <c r="B6052" s="6" t="s">
        <v>6011</v>
      </c>
    </row>
    <row r="6053" spans="1:2" x14ac:dyDescent="0.3">
      <c r="A6053" s="7" t="str">
        <f>HYPERLINK("http://www.eatonpowersource.com/products/configure/industrial%20valves/details/02-332623","02-332623")</f>
        <v>02-332623</v>
      </c>
      <c r="B6053" s="8" t="s">
        <v>6012</v>
      </c>
    </row>
    <row r="6054" spans="1:2" x14ac:dyDescent="0.3">
      <c r="A6054" s="5" t="str">
        <f>HYPERLINK("http://www.eatonpowersource.com/products/configure/industrial%20valves/details/02-332812","02-332812")</f>
        <v>02-332812</v>
      </c>
      <c r="B6054" s="6" t="s">
        <v>6013</v>
      </c>
    </row>
    <row r="6055" spans="1:2" x14ac:dyDescent="0.3">
      <c r="A6055" s="7" t="str">
        <f>HYPERLINK("http://www.eatonpowersource.com/products/configure/industrial%20valves/details/02-332971","02-332971")</f>
        <v>02-332971</v>
      </c>
      <c r="B6055" s="8" t="s">
        <v>6014</v>
      </c>
    </row>
    <row r="6056" spans="1:2" x14ac:dyDescent="0.3">
      <c r="A6056" s="5" t="str">
        <f>HYPERLINK("http://www.eatonpowersource.com/products/configure/industrial%20valves/details/02-333134","02-333134")</f>
        <v>02-333134</v>
      </c>
      <c r="B6056" s="6" t="s">
        <v>6015</v>
      </c>
    </row>
    <row r="6057" spans="1:2" x14ac:dyDescent="0.3">
      <c r="A6057" s="7" t="str">
        <f>HYPERLINK("http://www.eatonpowersource.com/products/configure/industrial%20valves/details/02-333144","02-333144")</f>
        <v>02-333144</v>
      </c>
      <c r="B6057" s="8" t="s">
        <v>6016</v>
      </c>
    </row>
    <row r="6058" spans="1:2" x14ac:dyDescent="0.3">
      <c r="A6058" s="5" t="str">
        <f>HYPERLINK("http://www.eatonpowersource.com/products/configure/industrial%20valves/details/02-333369","02-333369")</f>
        <v>02-333369</v>
      </c>
      <c r="B6058" s="6" t="s">
        <v>6017</v>
      </c>
    </row>
    <row r="6059" spans="1:2" x14ac:dyDescent="0.3">
      <c r="A6059" s="7" t="str">
        <f>HYPERLINK("http://www.eatonpowersource.com/products/configure/industrial%20valves/details/02-333371","02-333371")</f>
        <v>02-333371</v>
      </c>
      <c r="B6059" s="8" t="s">
        <v>6018</v>
      </c>
    </row>
    <row r="6060" spans="1:2" x14ac:dyDescent="0.3">
      <c r="A6060" s="5" t="str">
        <f>HYPERLINK("http://www.eatonpowersource.com/products/configure/industrial%20valves/details/02-350031","02-350031")</f>
        <v>02-350031</v>
      </c>
      <c r="B6060" s="6" t="s">
        <v>6019</v>
      </c>
    </row>
    <row r="6061" spans="1:2" x14ac:dyDescent="0.3">
      <c r="A6061" s="7" t="str">
        <f>HYPERLINK("http://www.eatonpowersource.com/products/configure/industrial%20valves/details/02-350121","02-350121")</f>
        <v>02-350121</v>
      </c>
      <c r="B6061" s="8" t="s">
        <v>6020</v>
      </c>
    </row>
    <row r="6062" spans="1:2" x14ac:dyDescent="0.3">
      <c r="A6062" s="5" t="str">
        <f>HYPERLINK("http://www.eatonpowersource.com/products/configure/industrial%20valves/details/02-350294","02-350294")</f>
        <v>02-350294</v>
      </c>
      <c r="B6062" s="6" t="s">
        <v>6021</v>
      </c>
    </row>
    <row r="6063" spans="1:2" x14ac:dyDescent="0.3">
      <c r="A6063" s="7" t="str">
        <f>HYPERLINK("http://www.eatonpowersource.com/products/configure/industrial%20valves/details/02-350758","02-350758")</f>
        <v>02-350758</v>
      </c>
      <c r="B6063" s="8" t="s">
        <v>6022</v>
      </c>
    </row>
    <row r="6064" spans="1:2" x14ac:dyDescent="0.3">
      <c r="A6064" s="5" t="str">
        <f>HYPERLINK("http://www.eatonpowersource.com/products/configure/industrial%20valves/details/02-350843","02-350843")</f>
        <v>02-350843</v>
      </c>
      <c r="B6064" s="6" t="s">
        <v>6023</v>
      </c>
    </row>
    <row r="6065" spans="1:2" x14ac:dyDescent="0.3">
      <c r="A6065" s="7" t="str">
        <f>HYPERLINK("http://www.eatonpowersource.com/products/configure/industrial%20valves/details/02-351266","02-351266")</f>
        <v>02-351266</v>
      </c>
      <c r="B6065" s="8" t="s">
        <v>6024</v>
      </c>
    </row>
    <row r="6066" spans="1:2" x14ac:dyDescent="0.3">
      <c r="A6066" s="5" t="str">
        <f>HYPERLINK("http://www.eatonpowersource.com/products/configure/industrial%20valves/details/02-353854","02-353854")</f>
        <v>02-353854</v>
      </c>
      <c r="B6066" s="6" t="s">
        <v>6025</v>
      </c>
    </row>
    <row r="6067" spans="1:2" x14ac:dyDescent="0.3">
      <c r="A6067" s="7" t="str">
        <f>HYPERLINK("http://www.eatonpowersource.com/products/configure/industrial%20valves/details/02-358882","02-358882")</f>
        <v>02-358882</v>
      </c>
      <c r="B6067" s="8" t="s">
        <v>6026</v>
      </c>
    </row>
    <row r="6068" spans="1:2" x14ac:dyDescent="0.3">
      <c r="A6068" s="5" t="str">
        <f>HYPERLINK("http://www.eatonpowersource.com/products/configure/industrial%20valves/details/02-358923","02-358923")</f>
        <v>02-358923</v>
      </c>
      <c r="B6068" s="6" t="s">
        <v>6027</v>
      </c>
    </row>
    <row r="6069" spans="1:2" x14ac:dyDescent="0.3">
      <c r="A6069" s="7" t="str">
        <f>HYPERLINK("http://www.eatonpowersource.com/products/configure/industrial%20valves/details/02-358977","02-358977")</f>
        <v>02-358977</v>
      </c>
      <c r="B6069" s="8" t="s">
        <v>6028</v>
      </c>
    </row>
    <row r="6070" spans="1:2" x14ac:dyDescent="0.3">
      <c r="A6070" s="5" t="str">
        <f>HYPERLINK("http://www.eatonpowersource.com/products/configure/industrial%20valves/details/02-411051","02-411051")</f>
        <v>02-411051</v>
      </c>
      <c r="B6070" s="6" t="s">
        <v>6029</v>
      </c>
    </row>
    <row r="6071" spans="1:2" x14ac:dyDescent="0.3">
      <c r="A6071" s="7" t="str">
        <f>HYPERLINK("http://www.eatonpowersource.com/products/configure/industrial%20valves/details/02-411166","02-411166")</f>
        <v>02-411166</v>
      </c>
      <c r="B6071" s="8" t="s">
        <v>6030</v>
      </c>
    </row>
    <row r="6072" spans="1:2" x14ac:dyDescent="0.3">
      <c r="A6072" s="5" t="str">
        <f>HYPERLINK("http://www.eatonpowersource.com/products/configure/industrial%20valves/details/02-411335","02-411335")</f>
        <v>02-411335</v>
      </c>
      <c r="B6072" s="6" t="s">
        <v>6031</v>
      </c>
    </row>
    <row r="6073" spans="1:2" x14ac:dyDescent="0.3">
      <c r="A6073" s="7" t="str">
        <f>HYPERLINK("http://www.eatonpowersource.com/products/configure/industrial%20valves/details/02-411500","02-411500")</f>
        <v>02-411500</v>
      </c>
      <c r="B6073" s="8" t="s">
        <v>6032</v>
      </c>
    </row>
    <row r="6074" spans="1:2" x14ac:dyDescent="0.3">
      <c r="A6074" s="5" t="str">
        <f>HYPERLINK("http://www.eatonpowersource.com/products/configure/industrial%20valves/details/02-411685","02-411685")</f>
        <v>02-411685</v>
      </c>
      <c r="B6074" s="6" t="s">
        <v>6033</v>
      </c>
    </row>
    <row r="6075" spans="1:2" x14ac:dyDescent="0.3">
      <c r="A6075" s="7" t="str">
        <f>HYPERLINK("http://www.eatonpowersource.com/products/configure/industrial%20valves/details/02-411778","02-411778")</f>
        <v>02-411778</v>
      </c>
      <c r="B6075" s="8" t="s">
        <v>6034</v>
      </c>
    </row>
    <row r="6076" spans="1:2" x14ac:dyDescent="0.3">
      <c r="A6076" s="5" t="str">
        <f>HYPERLINK("http://www.eatonpowersource.com/products/configure/industrial%20valves/details/02-413225","02-413225")</f>
        <v>02-413225</v>
      </c>
      <c r="B6076" s="6" t="s">
        <v>6035</v>
      </c>
    </row>
    <row r="6077" spans="1:2" x14ac:dyDescent="0.3">
      <c r="A6077" s="7" t="str">
        <f>HYPERLINK("http://www.eatonpowersource.com/products/configure/industrial%20valves/details/02-414744","02-414744")</f>
        <v>02-414744</v>
      </c>
      <c r="B6077" s="8" t="s">
        <v>6036</v>
      </c>
    </row>
    <row r="6078" spans="1:2" x14ac:dyDescent="0.3">
      <c r="A6078" s="5" t="str">
        <f>HYPERLINK("http://www.eatonpowersource.com/products/configure/industrial%20valves/details/694400","694400")</f>
        <v>694400</v>
      </c>
      <c r="B6078" s="6" t="s">
        <v>6037</v>
      </c>
    </row>
    <row r="6079" spans="1:2" x14ac:dyDescent="0.3">
      <c r="A6079" s="7" t="str">
        <f>HYPERLINK("http://www.eatonpowersource.com/products/configure/industrial%20valves/details/694411","694411")</f>
        <v>694411</v>
      </c>
      <c r="B6079" s="8" t="s">
        <v>6038</v>
      </c>
    </row>
    <row r="6080" spans="1:2" x14ac:dyDescent="0.3">
      <c r="A6080" s="5" t="str">
        <f>HYPERLINK("http://www.eatonpowersource.com/products/configure/industrial%20valves/details/694412","694412")</f>
        <v>694412</v>
      </c>
      <c r="B6080" s="6" t="s">
        <v>6039</v>
      </c>
    </row>
    <row r="6081" spans="1:2" x14ac:dyDescent="0.3">
      <c r="A6081" s="7" t="str">
        <f>HYPERLINK("http://www.eatonpowersource.com/products/configure/industrial%20valves/details/694413","694413")</f>
        <v>694413</v>
      </c>
      <c r="B6081" s="8" t="s">
        <v>6040</v>
      </c>
    </row>
    <row r="6082" spans="1:2" x14ac:dyDescent="0.3">
      <c r="A6082" s="5" t="str">
        <f>HYPERLINK("http://www.eatonpowersource.com/products/configure/industrial%20valves/details/694414","694414")</f>
        <v>694414</v>
      </c>
      <c r="B6082" s="6" t="s">
        <v>6041</v>
      </c>
    </row>
    <row r="6083" spans="1:2" x14ac:dyDescent="0.3">
      <c r="A6083" s="7" t="str">
        <f>HYPERLINK("http://www.eatonpowersource.com/products/configure/industrial%20valves/details/694415","694415")</f>
        <v>694415</v>
      </c>
      <c r="B6083" s="8" t="s">
        <v>6042</v>
      </c>
    </row>
    <row r="6084" spans="1:2" x14ac:dyDescent="0.3">
      <c r="A6084" s="5" t="str">
        <f>HYPERLINK("http://www.eatonpowersource.com/products/configure/industrial%20valves/details/694416","694416")</f>
        <v>694416</v>
      </c>
      <c r="B6084" s="6" t="s">
        <v>6043</v>
      </c>
    </row>
    <row r="6085" spans="1:2" x14ac:dyDescent="0.3">
      <c r="A6085" s="7" t="str">
        <f>HYPERLINK("http://www.eatonpowersource.com/products/configure/industrial%20valves/details/694419","694419")</f>
        <v>694419</v>
      </c>
      <c r="B6085" s="8" t="s">
        <v>6044</v>
      </c>
    </row>
    <row r="6086" spans="1:2" x14ac:dyDescent="0.3">
      <c r="A6086" s="5" t="str">
        <f>HYPERLINK("http://www.eatonpowersource.com/products/configure/industrial%20valves/details/774528","774528")</f>
        <v>774528</v>
      </c>
      <c r="B6086" s="6" t="s">
        <v>6045</v>
      </c>
    </row>
    <row r="6087" spans="1:2" x14ac:dyDescent="0.3">
      <c r="A6087" s="7" t="str">
        <f>HYPERLINK("http://www.eatonpowersource.com/products/configure/industrial%20valves/details/869627","869627")</f>
        <v>869627</v>
      </c>
      <c r="B6087" s="8" t="s">
        <v>6046</v>
      </c>
    </row>
    <row r="6088" spans="1:2" x14ac:dyDescent="0.3">
      <c r="A6088" s="5" t="str">
        <f>HYPERLINK("http://www.eatonpowersource.com/products/configure/industrial%20valves/details/869628","869628")</f>
        <v>869628</v>
      </c>
      <c r="B6088" s="6" t="s">
        <v>6047</v>
      </c>
    </row>
    <row r="6089" spans="1:2" x14ac:dyDescent="0.3">
      <c r="A6089" s="7" t="str">
        <f>HYPERLINK("http://www.eatonpowersource.com/products/configure/industrial%20valves/details/869630","869630")</f>
        <v>869630</v>
      </c>
      <c r="B6089" s="8" t="s">
        <v>6048</v>
      </c>
    </row>
    <row r="6090" spans="1:2" x14ac:dyDescent="0.3">
      <c r="A6090" s="5" t="str">
        <f>HYPERLINK("http://www.eatonpowersource.com/products/configure/industrial%20valves/details/869631","869631")</f>
        <v>869631</v>
      </c>
      <c r="B6090" s="6" t="s">
        <v>6049</v>
      </c>
    </row>
    <row r="6091" spans="1:2" x14ac:dyDescent="0.3">
      <c r="A6091" s="7" t="str">
        <f>HYPERLINK("http://www.eatonpowersource.com/products/configure/industrial%20valves/details/869632","869632")</f>
        <v>869632</v>
      </c>
      <c r="B6091" s="8" t="s">
        <v>6050</v>
      </c>
    </row>
    <row r="6092" spans="1:2" x14ac:dyDescent="0.3">
      <c r="A6092" s="5" t="str">
        <f>HYPERLINK("http://www.eatonpowersource.com/products/configure/industrial%20valves/details/869633","869633")</f>
        <v>869633</v>
      </c>
      <c r="B6092" s="6" t="s">
        <v>6051</v>
      </c>
    </row>
    <row r="6093" spans="1:2" x14ac:dyDescent="0.3">
      <c r="A6093" s="7" t="str">
        <f>HYPERLINK("http://www.eatonpowersource.com/products/configure/industrial%20valves/details/869640","869640")</f>
        <v>869640</v>
      </c>
      <c r="B6093" s="8" t="s">
        <v>6052</v>
      </c>
    </row>
    <row r="6094" spans="1:2" x14ac:dyDescent="0.3">
      <c r="A6094" s="5" t="str">
        <f>HYPERLINK("http://www.eatonpowersource.com/products/configure/industrial%20valves/details/869641","869641")</f>
        <v>869641</v>
      </c>
      <c r="B6094" s="6" t="s">
        <v>6053</v>
      </c>
    </row>
    <row r="6095" spans="1:2" x14ac:dyDescent="0.3">
      <c r="A6095" s="7" t="str">
        <f>HYPERLINK("http://www.eatonpowersource.com/products/configure/industrial%20valves/details/870018","870018")</f>
        <v>870018</v>
      </c>
      <c r="B6095" s="8" t="s">
        <v>6054</v>
      </c>
    </row>
    <row r="6096" spans="1:2" x14ac:dyDescent="0.3">
      <c r="A6096" s="5" t="str">
        <f>HYPERLINK("http://www.eatonpowersource.com/products/configure/industrial%20valves/details/870020","870020")</f>
        <v>870020</v>
      </c>
      <c r="B6096" s="6" t="s">
        <v>6055</v>
      </c>
    </row>
    <row r="6097" spans="1:2" x14ac:dyDescent="0.3">
      <c r="A6097" s="7" t="str">
        <f>HYPERLINK("http://www.eatonpowersource.com/products/configure/industrial%20valves/details/870021","870021")</f>
        <v>870021</v>
      </c>
      <c r="B6097" s="8" t="s">
        <v>6056</v>
      </c>
    </row>
    <row r="6098" spans="1:2" x14ac:dyDescent="0.3">
      <c r="A6098" s="5" t="str">
        <f>HYPERLINK("http://www.eatonpowersource.com/products/configure/industrial%20valves/details/870022","870022")</f>
        <v>870022</v>
      </c>
      <c r="B6098" s="6" t="s">
        <v>6057</v>
      </c>
    </row>
    <row r="6099" spans="1:2" x14ac:dyDescent="0.3">
      <c r="A6099" s="7" t="str">
        <f>HYPERLINK("http://www.eatonpowersource.com/products/configure/industrial%20valves/details/870023","870023")</f>
        <v>870023</v>
      </c>
      <c r="B6099" s="8" t="s">
        <v>6058</v>
      </c>
    </row>
    <row r="6100" spans="1:2" x14ac:dyDescent="0.3">
      <c r="A6100" s="5" t="str">
        <f>HYPERLINK("http://www.eatonpowersource.com/products/configure/industrial%20valves/details/870024","870024")</f>
        <v>870024</v>
      </c>
      <c r="B6100" s="6" t="s">
        <v>6059</v>
      </c>
    </row>
    <row r="6101" spans="1:2" x14ac:dyDescent="0.3">
      <c r="A6101" s="7" t="str">
        <f>HYPERLINK("http://www.eatonpowersource.com/products/configure/industrial%20valves/details/870027","870027")</f>
        <v>870027</v>
      </c>
      <c r="B6101" s="8" t="s">
        <v>6060</v>
      </c>
    </row>
    <row r="6102" spans="1:2" x14ac:dyDescent="0.3">
      <c r="A6102" s="5" t="str">
        <f>HYPERLINK("http://www.eatonpowersource.com/products/configure/industrial%20valves/details/870031","870031")</f>
        <v>870031</v>
      </c>
      <c r="B6102" s="6" t="s">
        <v>6061</v>
      </c>
    </row>
    <row r="6103" spans="1:2" x14ac:dyDescent="0.3">
      <c r="A6103" s="7" t="str">
        <f>HYPERLINK("http://www.eatonpowersource.com/products/configure/industrial%20valves/details/870032","870032")</f>
        <v>870032</v>
      </c>
      <c r="B6103" s="8" t="s">
        <v>6062</v>
      </c>
    </row>
    <row r="6104" spans="1:2" x14ac:dyDescent="0.3">
      <c r="A6104" s="5" t="str">
        <f>HYPERLINK("http://www.eatonpowersource.com/products/configure/industrial%20valves/details/870033","870033")</f>
        <v>870033</v>
      </c>
      <c r="B6104" s="6" t="s">
        <v>6063</v>
      </c>
    </row>
    <row r="6105" spans="1:2" x14ac:dyDescent="0.3">
      <c r="A6105" s="7" t="str">
        <f>HYPERLINK("http://www.eatonpowersource.com/products/configure/industrial%20valves/details/870034","870034")</f>
        <v>870034</v>
      </c>
      <c r="B6105" s="8" t="s">
        <v>6064</v>
      </c>
    </row>
    <row r="6106" spans="1:2" x14ac:dyDescent="0.3">
      <c r="A6106" s="5" t="str">
        <f>HYPERLINK("http://www.eatonpowersource.com/products/configure/industrial%20valves/details/870036","870036")</f>
        <v>870036</v>
      </c>
      <c r="B6106" s="6" t="s">
        <v>6065</v>
      </c>
    </row>
    <row r="6107" spans="1:2" x14ac:dyDescent="0.3">
      <c r="A6107" s="7" t="str">
        <f>HYPERLINK("http://www.eatonpowersource.com/products/configure/industrial%20valves/details/870037","870037")</f>
        <v>870037</v>
      </c>
      <c r="B6107" s="8" t="s">
        <v>6066</v>
      </c>
    </row>
    <row r="6108" spans="1:2" x14ac:dyDescent="0.3">
      <c r="A6108" s="5" t="str">
        <f>HYPERLINK("http://www.eatonpowersource.com/products/configure/industrial%20valves/details/870038","870038")</f>
        <v>870038</v>
      </c>
      <c r="B6108" s="6" t="s">
        <v>6067</v>
      </c>
    </row>
    <row r="6109" spans="1:2" x14ac:dyDescent="0.3">
      <c r="A6109" s="7" t="str">
        <f>HYPERLINK("http://www.eatonpowersource.com/products/configure/industrial%20valves/details/870039","870039")</f>
        <v>870039</v>
      </c>
      <c r="B6109" s="8" t="s">
        <v>6068</v>
      </c>
    </row>
    <row r="6110" spans="1:2" x14ac:dyDescent="0.3">
      <c r="A6110" s="5" t="str">
        <f>HYPERLINK("http://www.eatonpowersource.com/products/configure/industrial%20valves/details/870040","870040")</f>
        <v>870040</v>
      </c>
      <c r="B6110" s="6" t="s">
        <v>6069</v>
      </c>
    </row>
    <row r="6111" spans="1:2" x14ac:dyDescent="0.3">
      <c r="A6111" s="7" t="str">
        <f>HYPERLINK("http://www.eatonpowersource.com/products/configure/industrial%20valves/details/870041","870041")</f>
        <v>870041</v>
      </c>
      <c r="B6111" s="8" t="s">
        <v>6070</v>
      </c>
    </row>
    <row r="6112" spans="1:2" x14ac:dyDescent="0.3">
      <c r="A6112" s="5" t="str">
        <f>HYPERLINK("http://www.eatonpowersource.com/products/configure/industrial%20valves/details/870042","870042")</f>
        <v>870042</v>
      </c>
      <c r="B6112" s="6" t="s">
        <v>6071</v>
      </c>
    </row>
    <row r="6113" spans="1:2" x14ac:dyDescent="0.3">
      <c r="A6113" s="7" t="str">
        <f>HYPERLINK("http://www.eatonpowersource.com/products/configure/industrial%20valves/details/870043","870043")</f>
        <v>870043</v>
      </c>
      <c r="B6113" s="8" t="s">
        <v>6072</v>
      </c>
    </row>
    <row r="6114" spans="1:2" x14ac:dyDescent="0.3">
      <c r="A6114" s="5" t="str">
        <f>HYPERLINK("http://www.eatonpowersource.com/products/configure/industrial%20valves/details/870044","870044")</f>
        <v>870044</v>
      </c>
      <c r="B6114" s="6" t="s">
        <v>6073</v>
      </c>
    </row>
    <row r="6115" spans="1:2" x14ac:dyDescent="0.3">
      <c r="A6115" s="7" t="str">
        <f>HYPERLINK("http://www.eatonpowersource.com/products/configure/industrial%20valves/details/870045","870045")</f>
        <v>870045</v>
      </c>
      <c r="B6115" s="8" t="s">
        <v>6074</v>
      </c>
    </row>
    <row r="6116" spans="1:2" x14ac:dyDescent="0.3">
      <c r="A6116" s="5" t="str">
        <f>HYPERLINK("http://www.eatonpowersource.com/products/configure/industrial%20valves/details/870047","870047")</f>
        <v>870047</v>
      </c>
      <c r="B6116" s="6" t="s">
        <v>6075</v>
      </c>
    </row>
    <row r="6117" spans="1:2" x14ac:dyDescent="0.3">
      <c r="A6117" s="7" t="str">
        <f>HYPERLINK("http://www.eatonpowersource.com/products/configure/industrial%20valves/details/870048","870048")</f>
        <v>870048</v>
      </c>
      <c r="B6117" s="8" t="s">
        <v>6076</v>
      </c>
    </row>
    <row r="6118" spans="1:2" x14ac:dyDescent="0.3">
      <c r="A6118" s="5" t="str">
        <f>HYPERLINK("http://www.eatonpowersource.com/products/configure/industrial%20valves/details/870049","870049")</f>
        <v>870049</v>
      </c>
      <c r="B6118" s="6" t="s">
        <v>6077</v>
      </c>
    </row>
    <row r="6119" spans="1:2" x14ac:dyDescent="0.3">
      <c r="A6119" s="7" t="str">
        <f>HYPERLINK("http://www.eatonpowersource.com/products/configure/industrial%20valves/details/870074","870074")</f>
        <v>870074</v>
      </c>
      <c r="B6119" s="8" t="s">
        <v>6078</v>
      </c>
    </row>
    <row r="6120" spans="1:2" x14ac:dyDescent="0.3">
      <c r="A6120" s="5" t="str">
        <f>HYPERLINK("http://www.eatonpowersource.com/products/configure/industrial%20valves/details/870179","870179")</f>
        <v>870179</v>
      </c>
      <c r="B6120" s="6" t="s">
        <v>6079</v>
      </c>
    </row>
    <row r="6121" spans="1:2" x14ac:dyDescent="0.3">
      <c r="A6121" s="7" t="str">
        <f>HYPERLINK("http://www.eatonpowersource.com/products/configure/industrial%20valves/details/870233","870233")</f>
        <v>870233</v>
      </c>
      <c r="B6121" s="8" t="s">
        <v>6080</v>
      </c>
    </row>
    <row r="6122" spans="1:2" x14ac:dyDescent="0.3">
      <c r="A6122" s="5" t="str">
        <f>HYPERLINK("http://www.eatonpowersource.com/products/configure/industrial%20valves/details/870234","870234")</f>
        <v>870234</v>
      </c>
      <c r="B6122" s="6" t="s">
        <v>6081</v>
      </c>
    </row>
    <row r="6123" spans="1:2" x14ac:dyDescent="0.3">
      <c r="A6123" s="7" t="str">
        <f>HYPERLINK("http://www.eatonpowersource.com/products/configure/industrial%20valves/details/870235","870235")</f>
        <v>870235</v>
      </c>
      <c r="B6123" s="8" t="s">
        <v>6082</v>
      </c>
    </row>
    <row r="6124" spans="1:2" x14ac:dyDescent="0.3">
      <c r="A6124" s="5" t="str">
        <f>HYPERLINK("http://www.eatonpowersource.com/products/configure/industrial%20valves/details/870254","870254")</f>
        <v>870254</v>
      </c>
      <c r="B6124" s="6" t="s">
        <v>6083</v>
      </c>
    </row>
    <row r="6125" spans="1:2" x14ac:dyDescent="0.3">
      <c r="A6125" s="7" t="str">
        <f>HYPERLINK("http://www.eatonpowersource.com/products/configure/industrial%20valves/details/870255","870255")</f>
        <v>870255</v>
      </c>
      <c r="B6125" s="8" t="s">
        <v>6084</v>
      </c>
    </row>
    <row r="6126" spans="1:2" x14ac:dyDescent="0.3">
      <c r="A6126" s="5" t="str">
        <f>HYPERLINK("http://www.eatonpowersource.com/products/configure/industrial%20valves/details/870256","870256")</f>
        <v>870256</v>
      </c>
      <c r="B6126" s="6" t="s">
        <v>6085</v>
      </c>
    </row>
    <row r="6127" spans="1:2" x14ac:dyDescent="0.3">
      <c r="A6127" s="7" t="str">
        <f>HYPERLINK("http://www.eatonpowersource.com/products/configure/industrial%20valves/details/870257","870257")</f>
        <v>870257</v>
      </c>
      <c r="B6127" s="8" t="s">
        <v>6086</v>
      </c>
    </row>
    <row r="6128" spans="1:2" x14ac:dyDescent="0.3">
      <c r="A6128" s="5" t="str">
        <f>HYPERLINK("http://www.eatonpowersource.com/products/configure/industrial%20valves/details/870261","870261")</f>
        <v>870261</v>
      </c>
      <c r="B6128" s="6" t="s">
        <v>6087</v>
      </c>
    </row>
    <row r="6129" spans="1:2" x14ac:dyDescent="0.3">
      <c r="A6129" s="7" t="str">
        <f>HYPERLINK("http://www.eatonpowersource.com/products/configure/industrial%20valves/details/870264","870264")</f>
        <v>870264</v>
      </c>
      <c r="B6129" s="8" t="s">
        <v>6088</v>
      </c>
    </row>
    <row r="6130" spans="1:2" x14ac:dyDescent="0.3">
      <c r="A6130" s="5" t="str">
        <f>HYPERLINK("http://www.eatonpowersource.com/products/configure/industrial%20valves/details/870266","870266")</f>
        <v>870266</v>
      </c>
      <c r="B6130" s="6" t="s">
        <v>6089</v>
      </c>
    </row>
    <row r="6131" spans="1:2" x14ac:dyDescent="0.3">
      <c r="A6131" s="7" t="str">
        <f>HYPERLINK("http://www.eatonpowersource.com/products/configure/industrial%20valves/details/870267","870267")</f>
        <v>870267</v>
      </c>
      <c r="B6131" s="8" t="s">
        <v>6090</v>
      </c>
    </row>
    <row r="6132" spans="1:2" x14ac:dyDescent="0.3">
      <c r="A6132" s="5" t="str">
        <f>HYPERLINK("http://www.eatonpowersource.com/products/configure/industrial%20valves/details/870268","870268")</f>
        <v>870268</v>
      </c>
      <c r="B6132" s="6" t="s">
        <v>6091</v>
      </c>
    </row>
    <row r="6133" spans="1:2" x14ac:dyDescent="0.3">
      <c r="A6133" s="7" t="str">
        <f>HYPERLINK("http://www.eatonpowersource.com/products/configure/industrial%20valves/details/871049","871049")</f>
        <v>871049</v>
      </c>
      <c r="B6133" s="8" t="s">
        <v>6092</v>
      </c>
    </row>
    <row r="6134" spans="1:2" x14ac:dyDescent="0.3">
      <c r="A6134" s="5" t="str">
        <f>HYPERLINK("http://www.eatonpowersource.com/products/configure/industrial%20valves/details/871701","871701")</f>
        <v>871701</v>
      </c>
      <c r="B6134" s="6" t="s">
        <v>6093</v>
      </c>
    </row>
    <row r="6135" spans="1:2" x14ac:dyDescent="0.3">
      <c r="A6135" s="7" t="str">
        <f>HYPERLINK("http://www.eatonpowersource.com/products/configure/industrial%20valves/details/871702","871702")</f>
        <v>871702</v>
      </c>
      <c r="B6135" s="8" t="s">
        <v>6094</v>
      </c>
    </row>
    <row r="6136" spans="1:2" x14ac:dyDescent="0.3">
      <c r="A6136" s="5" t="str">
        <f>HYPERLINK("http://www.eatonpowersource.com/products/configure/industrial%20valves/details/871703","871703")</f>
        <v>871703</v>
      </c>
      <c r="B6136" s="6" t="s">
        <v>6095</v>
      </c>
    </row>
    <row r="6137" spans="1:2" x14ac:dyDescent="0.3">
      <c r="A6137" s="7" t="str">
        <f>HYPERLINK("http://www.eatonpowersource.com/products/configure/industrial%20valves/details/871708","871708")</f>
        <v>871708</v>
      </c>
      <c r="B6137" s="8" t="s">
        <v>6096</v>
      </c>
    </row>
    <row r="6138" spans="1:2" x14ac:dyDescent="0.3">
      <c r="A6138" s="5" t="str">
        <f>HYPERLINK("http://www.eatonpowersource.com/products/configure/industrial%20valves/details/871711","871711")</f>
        <v>871711</v>
      </c>
      <c r="B6138" s="6" t="s">
        <v>6097</v>
      </c>
    </row>
    <row r="6139" spans="1:2" x14ac:dyDescent="0.3">
      <c r="A6139" s="7" t="str">
        <f>HYPERLINK("http://www.eatonpowersource.com/products/configure/industrial%20valves/details/02-138526","02-138526")</f>
        <v>02-138526</v>
      </c>
      <c r="B6139" s="8" t="s">
        <v>6098</v>
      </c>
    </row>
    <row r="6140" spans="1:2" x14ac:dyDescent="0.3">
      <c r="A6140" s="5" t="str">
        <f>HYPERLINK("http://www.eatonpowersource.com/products/configure/industrial%20valves/details/02-139460","02-139460")</f>
        <v>02-139460</v>
      </c>
      <c r="B6140" s="6" t="s">
        <v>6099</v>
      </c>
    </row>
    <row r="6141" spans="1:2" x14ac:dyDescent="0.3">
      <c r="A6141" s="7" t="str">
        <f>HYPERLINK("http://www.eatonpowersource.com/products/configure/industrial%20valves/details/02-147279","02-147279")</f>
        <v>02-147279</v>
      </c>
      <c r="B6141" s="8" t="s">
        <v>6100</v>
      </c>
    </row>
    <row r="6142" spans="1:2" x14ac:dyDescent="0.3">
      <c r="A6142" s="5" t="str">
        <f>HYPERLINK("http://www.eatonpowersource.com/products/configure/industrial%20valves/details/02-147562","02-147562")</f>
        <v>02-147562</v>
      </c>
      <c r="B6142" s="6" t="s">
        <v>6101</v>
      </c>
    </row>
    <row r="6143" spans="1:2" x14ac:dyDescent="0.3">
      <c r="A6143" s="7" t="str">
        <f>HYPERLINK("http://www.eatonpowersource.com/products/configure/industrial%20valves/details/02-147672","02-147672")</f>
        <v>02-147672</v>
      </c>
      <c r="B6143" s="8" t="s">
        <v>6102</v>
      </c>
    </row>
    <row r="6144" spans="1:2" x14ac:dyDescent="0.3">
      <c r="A6144" s="5" t="str">
        <f>HYPERLINK("http://www.eatonpowersource.com/products/configure/industrial%20valves/details/02-156893","02-156893")</f>
        <v>02-156893</v>
      </c>
      <c r="B6144" s="6" t="s">
        <v>6103</v>
      </c>
    </row>
    <row r="6145" spans="1:2" x14ac:dyDescent="0.3">
      <c r="A6145" s="7" t="str">
        <f>HYPERLINK("http://www.eatonpowersource.com/products/configure/industrial%20valves/details/02-157021","02-157021")</f>
        <v>02-157021</v>
      </c>
      <c r="B6145" s="8" t="s">
        <v>6104</v>
      </c>
    </row>
    <row r="6146" spans="1:2" x14ac:dyDescent="0.3">
      <c r="A6146" s="5" t="str">
        <f>HYPERLINK("http://www.eatonpowersource.com/products/configure/industrial%20valves/details/02-157586","02-157586")</f>
        <v>02-157586</v>
      </c>
      <c r="B6146" s="6" t="s">
        <v>6105</v>
      </c>
    </row>
    <row r="6147" spans="1:2" x14ac:dyDescent="0.3">
      <c r="A6147" s="7" t="str">
        <f>HYPERLINK("http://www.eatonpowersource.com/products/configure/industrial%20valves/details/02-157664","02-157664")</f>
        <v>02-157664</v>
      </c>
      <c r="B6147" s="8" t="s">
        <v>6106</v>
      </c>
    </row>
    <row r="6148" spans="1:2" x14ac:dyDescent="0.3">
      <c r="A6148" s="5" t="str">
        <f>HYPERLINK("http://www.eatonpowersource.com/products/configure/industrial%20valves/details/02-311885","02-311885")</f>
        <v>02-311885</v>
      </c>
      <c r="B6148" s="6" t="s">
        <v>6107</v>
      </c>
    </row>
    <row r="6149" spans="1:2" x14ac:dyDescent="0.3">
      <c r="A6149" s="7" t="str">
        <f>HYPERLINK("http://www.eatonpowersource.com/products/configure/industrial%20valves/details/02-318438","02-318438")</f>
        <v>02-318438</v>
      </c>
      <c r="B6149" s="8" t="s">
        <v>6108</v>
      </c>
    </row>
    <row r="6150" spans="1:2" x14ac:dyDescent="0.3">
      <c r="A6150" s="5" t="str">
        <f>HYPERLINK("http://www.eatonpowersource.com/products/configure/industrial%20valves/details/02-319306","02-319306")</f>
        <v>02-319306</v>
      </c>
      <c r="B6150" s="6" t="s">
        <v>6109</v>
      </c>
    </row>
    <row r="6151" spans="1:2" x14ac:dyDescent="0.3">
      <c r="A6151" s="7" t="str">
        <f>HYPERLINK("http://www.eatonpowersource.com/products/configure/industrial%20valves/details/02-332856","02-332856")</f>
        <v>02-332856</v>
      </c>
      <c r="B6151" s="8" t="s">
        <v>6110</v>
      </c>
    </row>
    <row r="6152" spans="1:2" x14ac:dyDescent="0.3">
      <c r="A6152" s="5" t="str">
        <f>HYPERLINK("http://www.eatonpowersource.com/products/configure/industrial%20valves/details/02-352225","02-352225")</f>
        <v>02-352225</v>
      </c>
      <c r="B6152" s="6" t="s">
        <v>6111</v>
      </c>
    </row>
    <row r="6153" spans="1:2" x14ac:dyDescent="0.3">
      <c r="A6153" s="7" t="str">
        <f>HYPERLINK("http://www.eatonpowersource.com/products/configure/industrial%20valves/details/02-352354","02-352354")</f>
        <v>02-352354</v>
      </c>
      <c r="B6153" s="8" t="s">
        <v>6112</v>
      </c>
    </row>
    <row r="6154" spans="1:2" x14ac:dyDescent="0.3">
      <c r="A6154" s="5" t="str">
        <f>HYPERLINK("http://www.eatonpowersource.com/products/configure/industrial%20valves/details/02-352675","02-352675")</f>
        <v>02-352675</v>
      </c>
      <c r="B6154" s="6" t="s">
        <v>6113</v>
      </c>
    </row>
    <row r="6155" spans="1:2" x14ac:dyDescent="0.3">
      <c r="A6155" s="7" t="str">
        <f>HYPERLINK("http://www.eatonpowersource.com/products/configure/industrial%20valves/details/02-411412","02-411412")</f>
        <v>02-411412</v>
      </c>
      <c r="B6155" s="8" t="s">
        <v>6114</v>
      </c>
    </row>
    <row r="6156" spans="1:2" x14ac:dyDescent="0.3">
      <c r="A6156" s="5" t="str">
        <f>HYPERLINK("http://www.eatonpowersource.com/products/configure/industrial%20valves/details/02-108215","02-108215")</f>
        <v>02-108215</v>
      </c>
      <c r="B6156" s="6" t="s">
        <v>6115</v>
      </c>
    </row>
    <row r="6157" spans="1:2" x14ac:dyDescent="0.3">
      <c r="A6157" s="7" t="str">
        <f>HYPERLINK("http://www.eatonpowersource.com/products/configure/industrial%20valves/details/02-108753","02-108753")</f>
        <v>02-108753</v>
      </c>
      <c r="B6157" s="8" t="s">
        <v>6116</v>
      </c>
    </row>
    <row r="6158" spans="1:2" x14ac:dyDescent="0.3">
      <c r="A6158" s="5" t="str">
        <f>HYPERLINK("http://www.eatonpowersource.com/products/configure/industrial%20valves/details/02-108772","02-108772")</f>
        <v>02-108772</v>
      </c>
      <c r="B6158" s="6" t="s">
        <v>6117</v>
      </c>
    </row>
    <row r="6159" spans="1:2" x14ac:dyDescent="0.3">
      <c r="A6159" s="7" t="str">
        <f>HYPERLINK("http://www.eatonpowersource.com/products/configure/industrial%20valves/details/02-108814","02-108814")</f>
        <v>02-108814</v>
      </c>
      <c r="B6159" s="8" t="s">
        <v>6118</v>
      </c>
    </row>
    <row r="6160" spans="1:2" x14ac:dyDescent="0.3">
      <c r="A6160" s="5" t="str">
        <f>HYPERLINK("http://www.eatonpowersource.com/products/configure/industrial%20valves/details/02-110631","02-110631")</f>
        <v>02-110631</v>
      </c>
      <c r="B6160" s="6" t="s">
        <v>6119</v>
      </c>
    </row>
    <row r="6161" spans="1:2" x14ac:dyDescent="0.3">
      <c r="A6161" s="7" t="str">
        <f>HYPERLINK("http://www.eatonpowersource.com/products/configure/industrial%20valves/details/02-138025","02-138025")</f>
        <v>02-138025</v>
      </c>
      <c r="B6161" s="8" t="s">
        <v>6120</v>
      </c>
    </row>
    <row r="6162" spans="1:2" x14ac:dyDescent="0.3">
      <c r="A6162" s="5" t="str">
        <f>HYPERLINK("http://www.eatonpowersource.com/products/configure/industrial%20valves/details/02-146793","02-146793")</f>
        <v>02-146793</v>
      </c>
      <c r="B6162" s="6" t="s">
        <v>6121</v>
      </c>
    </row>
    <row r="6163" spans="1:2" x14ac:dyDescent="0.3">
      <c r="A6163" s="7" t="str">
        <f>HYPERLINK("http://www.eatonpowersource.com/products/configure/industrial%20valves/details/02-146952","02-146952")</f>
        <v>02-146952</v>
      </c>
      <c r="B6163" s="8" t="s">
        <v>6122</v>
      </c>
    </row>
    <row r="6164" spans="1:2" x14ac:dyDescent="0.3">
      <c r="A6164" s="5" t="str">
        <f>HYPERLINK("http://www.eatonpowersource.com/products/configure/industrial%20valves/details/02-146989","02-146989")</f>
        <v>02-146989</v>
      </c>
      <c r="B6164" s="6" t="s">
        <v>6123</v>
      </c>
    </row>
    <row r="6165" spans="1:2" x14ac:dyDescent="0.3">
      <c r="A6165" s="7" t="str">
        <f>HYPERLINK("http://www.eatonpowersource.com/products/configure/industrial%20valves/details/02-146998","02-146998")</f>
        <v>02-146998</v>
      </c>
      <c r="B6165" s="8" t="s">
        <v>6124</v>
      </c>
    </row>
    <row r="6166" spans="1:2" x14ac:dyDescent="0.3">
      <c r="A6166" s="5" t="str">
        <f>HYPERLINK("http://www.eatonpowersource.com/products/configure/industrial%20valves/details/02-147371","02-147371")</f>
        <v>02-147371</v>
      </c>
      <c r="B6166" s="6" t="s">
        <v>6125</v>
      </c>
    </row>
    <row r="6167" spans="1:2" x14ac:dyDescent="0.3">
      <c r="A6167" s="7" t="str">
        <f>HYPERLINK("http://www.eatonpowersource.com/products/configure/industrial%20valves/details/02-310557","02-310557")</f>
        <v>02-310557</v>
      </c>
      <c r="B6167" s="8" t="s">
        <v>6126</v>
      </c>
    </row>
    <row r="6168" spans="1:2" x14ac:dyDescent="0.3">
      <c r="A6168" s="5" t="str">
        <f>HYPERLINK("http://www.eatonpowersource.com/products/configure/industrial%20valves/details/02-310989","02-310989")</f>
        <v>02-310989</v>
      </c>
      <c r="B6168" s="6" t="s">
        <v>6127</v>
      </c>
    </row>
    <row r="6169" spans="1:2" x14ac:dyDescent="0.3">
      <c r="A6169" s="7" t="str">
        <f>HYPERLINK("http://www.eatonpowersource.com/products/configure/industrial%20valves/details/02-312446","02-312446")</f>
        <v>02-312446</v>
      </c>
      <c r="B6169" s="8" t="s">
        <v>6128</v>
      </c>
    </row>
    <row r="6170" spans="1:2" x14ac:dyDescent="0.3">
      <c r="A6170" s="5" t="str">
        <f>HYPERLINK("http://www.eatonpowersource.com/products/configure/industrial%20valves/details/02-318373","02-318373")</f>
        <v>02-318373</v>
      </c>
      <c r="B6170" s="6" t="s">
        <v>6129</v>
      </c>
    </row>
    <row r="6171" spans="1:2" x14ac:dyDescent="0.3">
      <c r="A6171" s="7" t="str">
        <f>HYPERLINK("http://www.eatonpowersource.com/products/configure/industrial%20valves/details/02-319192","02-319192")</f>
        <v>02-319192</v>
      </c>
      <c r="B6171" s="8" t="s">
        <v>6130</v>
      </c>
    </row>
    <row r="6172" spans="1:2" x14ac:dyDescent="0.3">
      <c r="A6172" s="5" t="str">
        <f>HYPERLINK("http://www.eatonpowersource.com/products/configure/industrial%20valves/details/02-319493","02-319493")</f>
        <v>02-319493</v>
      </c>
      <c r="B6172" s="6" t="s">
        <v>6131</v>
      </c>
    </row>
    <row r="6173" spans="1:2" x14ac:dyDescent="0.3">
      <c r="A6173" s="7" t="str">
        <f>HYPERLINK("http://www.eatonpowersource.com/products/configure/industrial%20valves/details/02-323061","02-323061")</f>
        <v>02-323061</v>
      </c>
      <c r="B6173" s="8" t="s">
        <v>6132</v>
      </c>
    </row>
    <row r="6174" spans="1:2" x14ac:dyDescent="0.3">
      <c r="A6174" s="5" t="str">
        <f>HYPERLINK("http://www.eatonpowersource.com/products/configure/industrial%20valves/details/02-323690","02-323690")</f>
        <v>02-323690</v>
      </c>
      <c r="B6174" s="6" t="s">
        <v>6133</v>
      </c>
    </row>
    <row r="6175" spans="1:2" x14ac:dyDescent="0.3">
      <c r="A6175" s="7" t="str">
        <f>HYPERLINK("http://www.eatonpowersource.com/products/configure/industrial%20valves/details/02-333684","02-333684")</f>
        <v>02-333684</v>
      </c>
      <c r="B6175" s="8" t="s">
        <v>6134</v>
      </c>
    </row>
    <row r="6176" spans="1:2" x14ac:dyDescent="0.3">
      <c r="A6176" s="5" t="str">
        <f>HYPERLINK("http://www.eatonpowersource.com/products/configure/industrial%20valves/details/02-333800","02-333800")</f>
        <v>02-333800</v>
      </c>
      <c r="B6176" s="6" t="s">
        <v>6135</v>
      </c>
    </row>
    <row r="6177" spans="1:2" x14ac:dyDescent="0.3">
      <c r="A6177" s="7" t="str">
        <f>HYPERLINK("http://www.eatonpowersource.com/products/configure/industrial%20valves/details/02-350156","02-350156")</f>
        <v>02-350156</v>
      </c>
      <c r="B6177" s="8" t="s">
        <v>6136</v>
      </c>
    </row>
    <row r="6178" spans="1:2" x14ac:dyDescent="0.3">
      <c r="A6178" s="5" t="str">
        <f>HYPERLINK("http://www.eatonpowersource.com/products/configure/industrial%20valves/details/02-350178","02-350178")</f>
        <v>02-350178</v>
      </c>
      <c r="B6178" s="6" t="s">
        <v>6137</v>
      </c>
    </row>
    <row r="6179" spans="1:2" x14ac:dyDescent="0.3">
      <c r="A6179" s="7" t="str">
        <f>HYPERLINK("http://www.eatonpowersource.com/products/configure/industrial%20valves/details/02-350202","02-350202")</f>
        <v>02-350202</v>
      </c>
      <c r="B6179" s="8" t="s">
        <v>6138</v>
      </c>
    </row>
    <row r="6180" spans="1:2" x14ac:dyDescent="0.3">
      <c r="A6180" s="5" t="str">
        <f>HYPERLINK("http://www.eatonpowersource.com/products/configure/industrial%20valves/details/02-350662","02-350662")</f>
        <v>02-350662</v>
      </c>
      <c r="B6180" s="6" t="s">
        <v>6139</v>
      </c>
    </row>
    <row r="6181" spans="1:2" x14ac:dyDescent="0.3">
      <c r="A6181" s="7" t="str">
        <f>HYPERLINK("http://www.eatonpowersource.com/products/configure/industrial%20valves/details/02-351853","02-351853")</f>
        <v>02-351853</v>
      </c>
      <c r="B6181" s="8" t="s">
        <v>6140</v>
      </c>
    </row>
    <row r="6182" spans="1:2" x14ac:dyDescent="0.3">
      <c r="A6182" s="5" t="str">
        <f>HYPERLINK("http://www.eatonpowersource.com/products/configure/industrial%20valves/details/02-351980","02-351980")</f>
        <v>02-351980</v>
      </c>
      <c r="B6182" s="6" t="s">
        <v>6141</v>
      </c>
    </row>
    <row r="6183" spans="1:2" x14ac:dyDescent="0.3">
      <c r="A6183" s="7" t="str">
        <f>HYPERLINK("http://www.eatonpowersource.com/products/configure/industrial%20valves/details/02-352407","02-352407")</f>
        <v>02-352407</v>
      </c>
      <c r="B6183" s="8" t="s">
        <v>6142</v>
      </c>
    </row>
    <row r="6184" spans="1:2" x14ac:dyDescent="0.3">
      <c r="A6184" s="5" t="str">
        <f>HYPERLINK("http://www.eatonpowersource.com/products/configure/industrial%20valves/details/02-352859","02-352859")</f>
        <v>02-352859</v>
      </c>
      <c r="B6184" s="6" t="s">
        <v>6143</v>
      </c>
    </row>
    <row r="6185" spans="1:2" x14ac:dyDescent="0.3">
      <c r="A6185" s="7" t="str">
        <f>HYPERLINK("http://www.eatonpowersource.com/products/configure/industrial%20valves/details/02-353272","02-353272")</f>
        <v>02-353272</v>
      </c>
      <c r="B6185" s="8" t="s">
        <v>6144</v>
      </c>
    </row>
    <row r="6186" spans="1:2" x14ac:dyDescent="0.3">
      <c r="A6186" s="5" t="str">
        <f>HYPERLINK("http://www.eatonpowersource.com/products/configure/industrial%20valves/details/02-353920","02-353920")</f>
        <v>02-353920</v>
      </c>
      <c r="B6186" s="6" t="s">
        <v>6145</v>
      </c>
    </row>
    <row r="6187" spans="1:2" x14ac:dyDescent="0.3">
      <c r="A6187" s="7" t="str">
        <f>HYPERLINK("http://www.eatonpowersource.com/products/configure/industrial%20valves/details/02-353923","02-353923")</f>
        <v>02-353923</v>
      </c>
      <c r="B6187" s="8" t="s">
        <v>6146</v>
      </c>
    </row>
    <row r="6188" spans="1:2" x14ac:dyDescent="0.3">
      <c r="A6188" s="5" t="str">
        <f>HYPERLINK("http://www.eatonpowersource.com/products/configure/industrial%20valves/details/02-358177","02-358177")</f>
        <v>02-358177</v>
      </c>
      <c r="B6188" s="6" t="s">
        <v>6147</v>
      </c>
    </row>
    <row r="6189" spans="1:2" x14ac:dyDescent="0.3">
      <c r="A6189" s="7" t="str">
        <f>HYPERLINK("http://www.eatonpowersource.com/products/configure/industrial%20valves/details/02-358637","02-358637")</f>
        <v>02-358637</v>
      </c>
      <c r="B6189" s="8" t="s">
        <v>6148</v>
      </c>
    </row>
    <row r="6190" spans="1:2" x14ac:dyDescent="0.3">
      <c r="A6190" s="5" t="str">
        <f>HYPERLINK("http://www.eatonpowersource.com/products/configure/industrial%20valves/details/02-359363","02-359363")</f>
        <v>02-359363</v>
      </c>
      <c r="B6190" s="6" t="s">
        <v>6149</v>
      </c>
    </row>
    <row r="6191" spans="1:2" x14ac:dyDescent="0.3">
      <c r="A6191" s="7" t="str">
        <f>HYPERLINK("http://www.eatonpowersource.com/products/configure/industrial%20valves/details/02-359375","02-359375")</f>
        <v>02-359375</v>
      </c>
      <c r="B6191" s="8" t="s">
        <v>6150</v>
      </c>
    </row>
    <row r="6192" spans="1:2" x14ac:dyDescent="0.3">
      <c r="A6192" s="5" t="str">
        <f>HYPERLINK("http://www.eatonpowersource.com/products/configure/industrial%20valves/details/02-359418","02-359418")</f>
        <v>02-359418</v>
      </c>
      <c r="B6192" s="6" t="s">
        <v>6151</v>
      </c>
    </row>
    <row r="6193" spans="1:2" x14ac:dyDescent="0.3">
      <c r="A6193" s="7" t="str">
        <f>HYPERLINK("http://www.eatonpowersource.com/products/configure/industrial%20valves/details/02-359459","02-359459")</f>
        <v>02-359459</v>
      </c>
      <c r="B6193" s="8" t="s">
        <v>6152</v>
      </c>
    </row>
    <row r="6194" spans="1:2" x14ac:dyDescent="0.3">
      <c r="A6194" s="5" t="str">
        <f>HYPERLINK("http://www.eatonpowersource.com/products/configure/industrial%20valves/details/02-359543","02-359543")</f>
        <v>02-359543</v>
      </c>
      <c r="B6194" s="6" t="s">
        <v>6153</v>
      </c>
    </row>
    <row r="6195" spans="1:2" x14ac:dyDescent="0.3">
      <c r="A6195" s="7" t="str">
        <f>HYPERLINK("http://www.eatonpowersource.com/products/configure/industrial%20valves/details/02-359998","02-359998")</f>
        <v>02-359998</v>
      </c>
      <c r="B6195" s="8" t="s">
        <v>6154</v>
      </c>
    </row>
    <row r="6196" spans="1:2" x14ac:dyDescent="0.3">
      <c r="A6196" s="5" t="str">
        <f>HYPERLINK("http://www.eatonpowersource.com/products/configure/industrial%20valves/details/02-411060","02-411060")</f>
        <v>02-411060</v>
      </c>
      <c r="B6196" s="6" t="s">
        <v>6155</v>
      </c>
    </row>
    <row r="6197" spans="1:2" x14ac:dyDescent="0.3">
      <c r="A6197" s="7" t="str">
        <f>HYPERLINK("http://www.eatonpowersource.com/products/configure/industrial%20valves/details/02-411785","02-411785")</f>
        <v>02-411785</v>
      </c>
      <c r="B6197" s="8" t="s">
        <v>6156</v>
      </c>
    </row>
    <row r="6198" spans="1:2" x14ac:dyDescent="0.3">
      <c r="A6198" s="5" t="str">
        <f>HYPERLINK("http://www.eatonpowersource.com/products/configure/industrial%20valves/details/02-411951","02-411951")</f>
        <v>02-411951</v>
      </c>
      <c r="B6198" s="6" t="s">
        <v>6157</v>
      </c>
    </row>
    <row r="6199" spans="1:2" x14ac:dyDescent="0.3">
      <c r="A6199" s="7" t="str">
        <f>HYPERLINK("http://www.eatonpowersource.com/products/configure/industrial%20valves/details/02-412248","02-412248")</f>
        <v>02-412248</v>
      </c>
      <c r="B6199" s="8" t="s">
        <v>6158</v>
      </c>
    </row>
    <row r="6200" spans="1:2" x14ac:dyDescent="0.3">
      <c r="A6200" s="5" t="str">
        <f>HYPERLINK("http://www.eatonpowersource.com/products/configure/industrial%20valves/details/02-412661","02-412661")</f>
        <v>02-412661</v>
      </c>
      <c r="B6200" s="6" t="s">
        <v>6159</v>
      </c>
    </row>
    <row r="6201" spans="1:2" x14ac:dyDescent="0.3">
      <c r="A6201" s="7" t="str">
        <f>HYPERLINK("http://www.eatonpowersource.com/products/configure/industrial%20valves/details/02-412662","02-412662")</f>
        <v>02-412662</v>
      </c>
      <c r="B6201" s="8" t="s">
        <v>6160</v>
      </c>
    </row>
    <row r="6202" spans="1:2" x14ac:dyDescent="0.3">
      <c r="A6202" s="5" t="str">
        <f>HYPERLINK("http://www.eatonpowersource.com/products/configure/industrial%20valves/details/02-412823","02-412823")</f>
        <v>02-412823</v>
      </c>
      <c r="B6202" s="6" t="s">
        <v>6161</v>
      </c>
    </row>
    <row r="6203" spans="1:2" x14ac:dyDescent="0.3">
      <c r="A6203" s="7" t="str">
        <f>HYPERLINK("http://www.eatonpowersource.com/products/configure/industrial%20valves/details/02-412884","02-412884")</f>
        <v>02-412884</v>
      </c>
      <c r="B6203" s="8" t="s">
        <v>6162</v>
      </c>
    </row>
    <row r="6204" spans="1:2" x14ac:dyDescent="0.3">
      <c r="A6204" s="5" t="str">
        <f>HYPERLINK("http://www.eatonpowersource.com/products/configure/industrial%20valves/details/02-412911","02-412911")</f>
        <v>02-412911</v>
      </c>
      <c r="B6204" s="6" t="s">
        <v>6163</v>
      </c>
    </row>
    <row r="6205" spans="1:2" x14ac:dyDescent="0.3">
      <c r="A6205" s="7" t="str">
        <f>HYPERLINK("http://www.eatonpowersource.com/products/configure/industrial%20valves/details/02-412930","02-412930")</f>
        <v>02-412930</v>
      </c>
      <c r="B6205" s="8" t="s">
        <v>6164</v>
      </c>
    </row>
    <row r="6206" spans="1:2" x14ac:dyDescent="0.3">
      <c r="A6206" s="5" t="str">
        <f>HYPERLINK("http://www.eatonpowersource.com/products/configure/industrial%20valves/details/02-413682","02-413682")</f>
        <v>02-413682</v>
      </c>
      <c r="B6206" s="6" t="s">
        <v>6165</v>
      </c>
    </row>
    <row r="6207" spans="1:2" x14ac:dyDescent="0.3">
      <c r="A6207" s="7" t="str">
        <f>HYPERLINK("http://www.eatonpowersource.com/products/configure/industrial%20valves/details/02-414677","02-414677")</f>
        <v>02-414677</v>
      </c>
      <c r="B6207" s="8" t="s">
        <v>6166</v>
      </c>
    </row>
    <row r="6208" spans="1:2" x14ac:dyDescent="0.3">
      <c r="A6208" s="5" t="str">
        <f>HYPERLINK("http://www.eatonpowersource.com/products/configure/industrial%20valves/details/02-414727","02-414727")</f>
        <v>02-414727</v>
      </c>
      <c r="B6208" s="6" t="s">
        <v>6167</v>
      </c>
    </row>
    <row r="6209" spans="1:2" x14ac:dyDescent="0.3">
      <c r="A6209" s="7" t="str">
        <f>HYPERLINK("http://www.eatonpowersource.com/products/configure/industrial%20valves/details/02-414923","02-414923")</f>
        <v>02-414923</v>
      </c>
      <c r="B6209" s="8" t="s">
        <v>6168</v>
      </c>
    </row>
    <row r="6210" spans="1:2" x14ac:dyDescent="0.3">
      <c r="A6210" s="5" t="str">
        <f>HYPERLINK("http://www.eatonpowersource.com/products/configure/industrial%20valves/details/02-414925","02-414925")</f>
        <v>02-414925</v>
      </c>
      <c r="B6210" s="6" t="s">
        <v>6169</v>
      </c>
    </row>
    <row r="6211" spans="1:2" x14ac:dyDescent="0.3">
      <c r="A6211" s="7" t="str">
        <f>HYPERLINK("http://www.eatonpowersource.com/products/configure/industrial%20valves/details/459109","459109")</f>
        <v>459109</v>
      </c>
      <c r="B6211" s="8" t="s">
        <v>6170</v>
      </c>
    </row>
    <row r="6212" spans="1:2" x14ac:dyDescent="0.3">
      <c r="A6212" s="5" t="str">
        <f>HYPERLINK("http://www.eatonpowersource.com/products/configure/industrial%20valves/details/459156","459156")</f>
        <v>459156</v>
      </c>
      <c r="B6212" s="6" t="s">
        <v>6171</v>
      </c>
    </row>
    <row r="6213" spans="1:2" x14ac:dyDescent="0.3">
      <c r="A6213" s="7" t="str">
        <f>HYPERLINK("http://www.eatonpowersource.com/products/configure/industrial%20valves/details/459157","459157")</f>
        <v>459157</v>
      </c>
      <c r="B6213" s="8" t="s">
        <v>6172</v>
      </c>
    </row>
    <row r="6214" spans="1:2" x14ac:dyDescent="0.3">
      <c r="A6214" s="5" t="str">
        <f>HYPERLINK("http://www.eatonpowersource.com/products/configure/industrial%20valves/details/459158","459158")</f>
        <v>459158</v>
      </c>
      <c r="B6214" s="6" t="s">
        <v>6173</v>
      </c>
    </row>
    <row r="6215" spans="1:2" x14ac:dyDescent="0.3">
      <c r="A6215" s="7" t="str">
        <f>HYPERLINK("http://www.eatonpowersource.com/products/configure/industrial%20valves/details/459159","459159")</f>
        <v>459159</v>
      </c>
      <c r="B6215" s="8" t="s">
        <v>6174</v>
      </c>
    </row>
    <row r="6216" spans="1:2" x14ac:dyDescent="0.3">
      <c r="A6216" s="5" t="str">
        <f>HYPERLINK("http://www.eatonpowersource.com/products/configure/industrial%20valves/details/459178","459178")</f>
        <v>459178</v>
      </c>
      <c r="B6216" s="6" t="s">
        <v>6175</v>
      </c>
    </row>
    <row r="6217" spans="1:2" x14ac:dyDescent="0.3">
      <c r="A6217" s="7" t="str">
        <f>HYPERLINK("http://www.eatonpowersource.com/products/configure/industrial%20valves/details/459184","459184")</f>
        <v>459184</v>
      </c>
      <c r="B6217" s="8" t="s">
        <v>6176</v>
      </c>
    </row>
    <row r="6218" spans="1:2" x14ac:dyDescent="0.3">
      <c r="A6218" s="5" t="str">
        <f>HYPERLINK("http://www.eatonpowersource.com/products/configure/industrial%20valves/details/459189","459189")</f>
        <v>459189</v>
      </c>
      <c r="B6218" s="6" t="s">
        <v>6177</v>
      </c>
    </row>
    <row r="6219" spans="1:2" x14ac:dyDescent="0.3">
      <c r="A6219" s="7" t="str">
        <f>HYPERLINK("http://www.eatonpowersource.com/products/configure/industrial%20valves/details/459215","459215")</f>
        <v>459215</v>
      </c>
      <c r="B6219" s="8" t="s">
        <v>6178</v>
      </c>
    </row>
    <row r="6220" spans="1:2" x14ac:dyDescent="0.3">
      <c r="A6220" s="5" t="str">
        <f>HYPERLINK("http://www.eatonpowersource.com/products/configure/industrial%20valves/details/459359","459359")</f>
        <v>459359</v>
      </c>
      <c r="B6220" s="6" t="s">
        <v>6179</v>
      </c>
    </row>
    <row r="6221" spans="1:2" x14ac:dyDescent="0.3">
      <c r="A6221" s="7" t="str">
        <f>HYPERLINK("http://www.eatonpowersource.com/products/configure/industrial%20valves/details/459618","459618")</f>
        <v>459618</v>
      </c>
      <c r="B6221" s="8" t="s">
        <v>6180</v>
      </c>
    </row>
    <row r="6222" spans="1:2" x14ac:dyDescent="0.3">
      <c r="A6222" s="5" t="str">
        <f>HYPERLINK("http://www.eatonpowersource.com/products/configure/industrial%20valves/details/459681","459681")</f>
        <v>459681</v>
      </c>
      <c r="B6222" s="6" t="s">
        <v>6181</v>
      </c>
    </row>
    <row r="6223" spans="1:2" x14ac:dyDescent="0.3">
      <c r="A6223" s="7" t="str">
        <f>HYPERLINK("http://www.eatonpowersource.com/products/configure/industrial%20valves/details/459694","459694")</f>
        <v>459694</v>
      </c>
      <c r="B6223" s="8" t="s">
        <v>6182</v>
      </c>
    </row>
    <row r="6224" spans="1:2" x14ac:dyDescent="0.3">
      <c r="A6224" s="5" t="str">
        <f>HYPERLINK("http://www.eatonpowersource.com/products/configure/industrial%20valves/details/459788","459788")</f>
        <v>459788</v>
      </c>
      <c r="B6224" s="6" t="s">
        <v>6183</v>
      </c>
    </row>
    <row r="6225" spans="1:2" x14ac:dyDescent="0.3">
      <c r="A6225" s="7" t="str">
        <f>HYPERLINK("http://www.eatonpowersource.com/products/configure/industrial%20valves/details/459789","459789")</f>
        <v>459789</v>
      </c>
      <c r="B6225" s="8" t="s">
        <v>6184</v>
      </c>
    </row>
    <row r="6226" spans="1:2" x14ac:dyDescent="0.3">
      <c r="A6226" s="5" t="str">
        <f>HYPERLINK("http://www.eatonpowersource.com/products/configure/industrial%20valves/details/506790","506790")</f>
        <v>506790</v>
      </c>
      <c r="B6226" s="6" t="s">
        <v>6185</v>
      </c>
    </row>
    <row r="6227" spans="1:2" x14ac:dyDescent="0.3">
      <c r="A6227" s="7" t="str">
        <f>HYPERLINK("http://www.eatonpowersource.com/products/configure/industrial%20valves/details/506871","506871")</f>
        <v>506871</v>
      </c>
      <c r="B6227" s="8" t="s">
        <v>6186</v>
      </c>
    </row>
    <row r="6228" spans="1:2" x14ac:dyDescent="0.3">
      <c r="A6228" s="5" t="str">
        <f>HYPERLINK("http://www.eatonpowersource.com/products/configure/industrial%20valves/details/506872","506872")</f>
        <v>506872</v>
      </c>
      <c r="B6228" s="6" t="s">
        <v>6187</v>
      </c>
    </row>
    <row r="6229" spans="1:2" x14ac:dyDescent="0.3">
      <c r="A6229" s="7" t="str">
        <f>HYPERLINK("http://www.eatonpowersource.com/products/configure/industrial%20valves/details/506873","506873")</f>
        <v>506873</v>
      </c>
      <c r="B6229" s="8" t="s">
        <v>6188</v>
      </c>
    </row>
    <row r="6230" spans="1:2" x14ac:dyDescent="0.3">
      <c r="A6230" s="5" t="str">
        <f>HYPERLINK("http://www.eatonpowersource.com/products/configure/industrial%20valves/details/507011","507011")</f>
        <v>507011</v>
      </c>
      <c r="B6230" s="6" t="s">
        <v>6189</v>
      </c>
    </row>
    <row r="6231" spans="1:2" x14ac:dyDescent="0.3">
      <c r="A6231" s="7" t="str">
        <f>HYPERLINK("http://www.eatonpowersource.com/products/configure/industrial%20valves/details/507074","507074")</f>
        <v>507074</v>
      </c>
      <c r="B6231" s="8" t="s">
        <v>6190</v>
      </c>
    </row>
    <row r="6232" spans="1:2" x14ac:dyDescent="0.3">
      <c r="A6232" s="5" t="str">
        <f>HYPERLINK("http://www.eatonpowersource.com/products/configure/industrial%20valves/details/507080","507080")</f>
        <v>507080</v>
      </c>
      <c r="B6232" s="6" t="s">
        <v>6191</v>
      </c>
    </row>
    <row r="6233" spans="1:2" x14ac:dyDescent="0.3">
      <c r="A6233" s="7" t="str">
        <f>HYPERLINK("http://www.eatonpowersource.com/products/configure/industrial%20valves/details/507146","507146")</f>
        <v>507146</v>
      </c>
      <c r="B6233" s="8" t="s">
        <v>6192</v>
      </c>
    </row>
    <row r="6234" spans="1:2" x14ac:dyDescent="0.3">
      <c r="A6234" s="5" t="str">
        <f>HYPERLINK("http://www.eatonpowersource.com/products/configure/industrial%20valves/details/507176","507176")</f>
        <v>507176</v>
      </c>
      <c r="B6234" s="6" t="s">
        <v>6193</v>
      </c>
    </row>
    <row r="6235" spans="1:2" x14ac:dyDescent="0.3">
      <c r="A6235" s="7" t="str">
        <f>HYPERLINK("http://www.eatonpowersource.com/products/configure/industrial%20valves/details/507177","507177")</f>
        <v>507177</v>
      </c>
      <c r="B6235" s="8" t="s">
        <v>6194</v>
      </c>
    </row>
    <row r="6236" spans="1:2" x14ac:dyDescent="0.3">
      <c r="A6236" s="5" t="str">
        <f>HYPERLINK("http://www.eatonpowersource.com/products/configure/industrial%20valves/details/507178","507178")</f>
        <v>507178</v>
      </c>
      <c r="B6236" s="6" t="s">
        <v>6195</v>
      </c>
    </row>
    <row r="6237" spans="1:2" x14ac:dyDescent="0.3">
      <c r="A6237" s="7" t="str">
        <f>HYPERLINK("http://www.eatonpowersource.com/products/configure/industrial%20valves/details/507252","507252")</f>
        <v>507252</v>
      </c>
      <c r="B6237" s="8" t="s">
        <v>6196</v>
      </c>
    </row>
    <row r="6238" spans="1:2" x14ac:dyDescent="0.3">
      <c r="A6238" s="5" t="str">
        <f>HYPERLINK("http://www.eatonpowersource.com/products/configure/industrial%20valves/details/507356","507356")</f>
        <v>507356</v>
      </c>
      <c r="B6238" s="6" t="s">
        <v>6197</v>
      </c>
    </row>
    <row r="6239" spans="1:2" x14ac:dyDescent="0.3">
      <c r="A6239" s="7" t="str">
        <f>HYPERLINK("http://www.eatonpowersource.com/products/configure/industrial%20valves/details/507433","507433")</f>
        <v>507433</v>
      </c>
      <c r="B6239" s="8" t="s">
        <v>6198</v>
      </c>
    </row>
    <row r="6240" spans="1:2" x14ac:dyDescent="0.3">
      <c r="A6240" s="5" t="str">
        <f>HYPERLINK("http://www.eatonpowersource.com/products/configure/industrial%20valves/details/507463","507463")</f>
        <v>507463</v>
      </c>
      <c r="B6240" s="6" t="s">
        <v>6199</v>
      </c>
    </row>
    <row r="6241" spans="1:2" x14ac:dyDescent="0.3">
      <c r="A6241" s="7" t="str">
        <f>HYPERLINK("http://www.eatonpowersource.com/products/configure/industrial%20valves/details/507595","507595")</f>
        <v>507595</v>
      </c>
      <c r="B6241" s="8" t="s">
        <v>6200</v>
      </c>
    </row>
    <row r="6242" spans="1:2" x14ac:dyDescent="0.3">
      <c r="A6242" s="5" t="str">
        <f>HYPERLINK("http://www.eatonpowersource.com/products/configure/industrial%20valves/details/507642","507642")</f>
        <v>507642</v>
      </c>
      <c r="B6242" s="6" t="s">
        <v>6201</v>
      </c>
    </row>
    <row r="6243" spans="1:2" x14ac:dyDescent="0.3">
      <c r="A6243" s="7" t="str">
        <f>HYPERLINK("http://www.eatonpowersource.com/products/configure/industrial%20valves/details/529572","529572")</f>
        <v>529572</v>
      </c>
      <c r="B6243" s="8" t="s">
        <v>6202</v>
      </c>
    </row>
    <row r="6244" spans="1:2" x14ac:dyDescent="0.3">
      <c r="A6244" s="5" t="str">
        <f>HYPERLINK("http://www.eatonpowersource.com/products/configure/industrial%20valves/details/529677","529677")</f>
        <v>529677</v>
      </c>
      <c r="B6244" s="6" t="s">
        <v>6203</v>
      </c>
    </row>
    <row r="6245" spans="1:2" x14ac:dyDescent="0.3">
      <c r="A6245" s="7" t="str">
        <f>HYPERLINK("http://www.eatonpowersource.com/products/configure/industrial%20valves/details/529678","529678")</f>
        <v>529678</v>
      </c>
      <c r="B6245" s="8" t="s">
        <v>6204</v>
      </c>
    </row>
    <row r="6246" spans="1:2" x14ac:dyDescent="0.3">
      <c r="A6246" s="5" t="str">
        <f>HYPERLINK("http://www.eatonpowersource.com/products/configure/industrial%20valves/details/529744","529744")</f>
        <v>529744</v>
      </c>
      <c r="B6246" s="6" t="s">
        <v>6205</v>
      </c>
    </row>
    <row r="6247" spans="1:2" x14ac:dyDescent="0.3">
      <c r="A6247" s="7" t="str">
        <f>HYPERLINK("http://www.eatonpowersource.com/products/configure/industrial%20valves/details/529750","529750")</f>
        <v>529750</v>
      </c>
      <c r="B6247" s="8" t="s">
        <v>6206</v>
      </c>
    </row>
    <row r="6248" spans="1:2" x14ac:dyDescent="0.3">
      <c r="A6248" s="5" t="str">
        <f>HYPERLINK("http://www.eatonpowersource.com/products/configure/industrial%20valves/details/529752","529752")</f>
        <v>529752</v>
      </c>
      <c r="B6248" s="6" t="s">
        <v>6207</v>
      </c>
    </row>
    <row r="6249" spans="1:2" x14ac:dyDescent="0.3">
      <c r="A6249" s="7" t="str">
        <f>HYPERLINK("http://www.eatonpowersource.com/products/configure/industrial%20valves/details/529814","529814")</f>
        <v>529814</v>
      </c>
      <c r="B6249" s="8" t="s">
        <v>6208</v>
      </c>
    </row>
    <row r="6250" spans="1:2" x14ac:dyDescent="0.3">
      <c r="A6250" s="5" t="str">
        <f>HYPERLINK("http://www.eatonpowersource.com/products/configure/industrial%20valves/details/529842","529842")</f>
        <v>529842</v>
      </c>
      <c r="B6250" s="6" t="s">
        <v>6209</v>
      </c>
    </row>
    <row r="6251" spans="1:2" x14ac:dyDescent="0.3">
      <c r="A6251" s="7" t="str">
        <f>HYPERLINK("http://www.eatonpowersource.com/products/configure/industrial%20valves/details/529861","529861")</f>
        <v>529861</v>
      </c>
      <c r="B6251" s="8" t="s">
        <v>6210</v>
      </c>
    </row>
    <row r="6252" spans="1:2" x14ac:dyDescent="0.3">
      <c r="A6252" s="5" t="str">
        <f>HYPERLINK("http://www.eatonpowersource.com/products/configure/industrial%20valves/details/529912","529912")</f>
        <v>529912</v>
      </c>
      <c r="B6252" s="6" t="s">
        <v>6211</v>
      </c>
    </row>
    <row r="6253" spans="1:2" x14ac:dyDescent="0.3">
      <c r="A6253" s="7" t="str">
        <f>HYPERLINK("http://www.eatonpowersource.com/products/configure/industrial%20valves/details/529947","529947")</f>
        <v>529947</v>
      </c>
      <c r="B6253" s="8" t="s">
        <v>6212</v>
      </c>
    </row>
    <row r="6254" spans="1:2" x14ac:dyDescent="0.3">
      <c r="A6254" s="5" t="str">
        <f>HYPERLINK("http://www.eatonpowersource.com/products/configure/industrial%20valves/details/565059","565059")</f>
        <v>565059</v>
      </c>
      <c r="B6254" s="6" t="s">
        <v>6213</v>
      </c>
    </row>
    <row r="6255" spans="1:2" x14ac:dyDescent="0.3">
      <c r="A6255" s="7" t="str">
        <f>HYPERLINK("http://www.eatonpowersource.com/products/configure/industrial%20valves/details/565199","565199")</f>
        <v>565199</v>
      </c>
      <c r="B6255" s="8" t="s">
        <v>6214</v>
      </c>
    </row>
    <row r="6256" spans="1:2" x14ac:dyDescent="0.3">
      <c r="A6256" s="5" t="str">
        <f>HYPERLINK("http://www.eatonpowersource.com/products/configure/industrial%20valves/details/565293","565293")</f>
        <v>565293</v>
      </c>
      <c r="B6256" s="6" t="s">
        <v>6215</v>
      </c>
    </row>
    <row r="6257" spans="1:2" x14ac:dyDescent="0.3">
      <c r="A6257" s="7" t="str">
        <f>HYPERLINK("http://www.eatonpowersource.com/products/configure/industrial%20valves/details/6034249-001","6034249-001")</f>
        <v>6034249-001</v>
      </c>
      <c r="B6257" s="8" t="s">
        <v>6216</v>
      </c>
    </row>
    <row r="6258" spans="1:2" x14ac:dyDescent="0.3">
      <c r="A6258" s="5" t="str">
        <f>HYPERLINK("http://www.eatonpowersource.com/products/configure/industrial%20valves/details/6040871-001","6040871-001")</f>
        <v>6040871-001</v>
      </c>
      <c r="B6258" s="6" t="s">
        <v>6217</v>
      </c>
    </row>
    <row r="6259" spans="1:2" x14ac:dyDescent="0.3">
      <c r="A6259" s="7" t="str">
        <f>HYPERLINK("http://www.eatonpowersource.com/products/configure/industrial%20valves/details/616768","616768")</f>
        <v>616768</v>
      </c>
      <c r="B6259" s="8" t="s">
        <v>6218</v>
      </c>
    </row>
    <row r="6260" spans="1:2" x14ac:dyDescent="0.3">
      <c r="A6260" s="5" t="str">
        <f>HYPERLINK("http://www.eatonpowersource.com/products/configure/industrial%20valves/details/616769","616769")</f>
        <v>616769</v>
      </c>
      <c r="B6260" s="6" t="s">
        <v>6219</v>
      </c>
    </row>
    <row r="6261" spans="1:2" x14ac:dyDescent="0.3">
      <c r="A6261" s="7" t="str">
        <f>HYPERLINK("http://www.eatonpowersource.com/products/configure/industrial%20valves/details/616770","616770")</f>
        <v>616770</v>
      </c>
      <c r="B6261" s="8" t="s">
        <v>6220</v>
      </c>
    </row>
    <row r="6262" spans="1:2" x14ac:dyDescent="0.3">
      <c r="A6262" s="5" t="str">
        <f>HYPERLINK("http://www.eatonpowersource.com/products/configure/industrial%20valves/details/616771","616771")</f>
        <v>616771</v>
      </c>
      <c r="B6262" s="6" t="s">
        <v>6221</v>
      </c>
    </row>
    <row r="6263" spans="1:2" x14ac:dyDescent="0.3">
      <c r="A6263" s="7" t="str">
        <f>HYPERLINK("http://www.eatonpowersource.com/products/configure/industrial%20valves/details/616772","616772")</f>
        <v>616772</v>
      </c>
      <c r="B6263" s="8" t="s">
        <v>6222</v>
      </c>
    </row>
    <row r="6264" spans="1:2" x14ac:dyDescent="0.3">
      <c r="A6264" s="5" t="str">
        <f>HYPERLINK("http://www.eatonpowersource.com/products/configure/industrial%20valves/details/616773","616773")</f>
        <v>616773</v>
      </c>
      <c r="B6264" s="6" t="s">
        <v>6223</v>
      </c>
    </row>
    <row r="6265" spans="1:2" x14ac:dyDescent="0.3">
      <c r="A6265" s="7" t="str">
        <f>HYPERLINK("http://www.eatonpowersource.com/products/configure/industrial%20valves/details/616774","616774")</f>
        <v>616774</v>
      </c>
      <c r="B6265" s="8" t="s">
        <v>6224</v>
      </c>
    </row>
    <row r="6266" spans="1:2" x14ac:dyDescent="0.3">
      <c r="A6266" s="5" t="str">
        <f>HYPERLINK("http://www.eatonpowersource.com/products/configure/industrial%20valves/details/616775","616775")</f>
        <v>616775</v>
      </c>
      <c r="B6266" s="6" t="s">
        <v>6225</v>
      </c>
    </row>
    <row r="6267" spans="1:2" x14ac:dyDescent="0.3">
      <c r="A6267" s="7" t="str">
        <f>HYPERLINK("http://www.eatonpowersource.com/products/configure/industrial%20valves/details/616776","616776")</f>
        <v>616776</v>
      </c>
      <c r="B6267" s="8" t="s">
        <v>6226</v>
      </c>
    </row>
    <row r="6268" spans="1:2" x14ac:dyDescent="0.3">
      <c r="A6268" s="5" t="str">
        <f>HYPERLINK("http://www.eatonpowersource.com/products/configure/industrial%20valves/details/616777","616777")</f>
        <v>616777</v>
      </c>
      <c r="B6268" s="6" t="s">
        <v>6227</v>
      </c>
    </row>
    <row r="6269" spans="1:2" x14ac:dyDescent="0.3">
      <c r="A6269" s="7" t="str">
        <f>HYPERLINK("http://www.eatonpowersource.com/products/configure/industrial%20valves/details/616778","616778")</f>
        <v>616778</v>
      </c>
      <c r="B6269" s="8" t="s">
        <v>6228</v>
      </c>
    </row>
    <row r="6270" spans="1:2" x14ac:dyDescent="0.3">
      <c r="A6270" s="5" t="str">
        <f>HYPERLINK("http://www.eatonpowersource.com/products/configure/industrial%20valves/details/616779","616779")</f>
        <v>616779</v>
      </c>
      <c r="B6270" s="6" t="s">
        <v>6229</v>
      </c>
    </row>
    <row r="6271" spans="1:2" x14ac:dyDescent="0.3">
      <c r="A6271" s="7" t="str">
        <f>HYPERLINK("http://www.eatonpowersource.com/products/configure/industrial%20valves/details/616780","616780")</f>
        <v>616780</v>
      </c>
      <c r="B6271" s="8" t="s">
        <v>6230</v>
      </c>
    </row>
    <row r="6272" spans="1:2" x14ac:dyDescent="0.3">
      <c r="A6272" s="5" t="str">
        <f>HYPERLINK("http://www.eatonpowersource.com/products/configure/industrial%20valves/details/616781","616781")</f>
        <v>616781</v>
      </c>
      <c r="B6272" s="6" t="s">
        <v>6231</v>
      </c>
    </row>
    <row r="6273" spans="1:2" x14ac:dyDescent="0.3">
      <c r="A6273" s="7" t="str">
        <f>HYPERLINK("http://www.eatonpowersource.com/products/configure/industrial%20valves/details/616782","616782")</f>
        <v>616782</v>
      </c>
      <c r="B6273" s="8" t="s">
        <v>6232</v>
      </c>
    </row>
    <row r="6274" spans="1:2" x14ac:dyDescent="0.3">
      <c r="A6274" s="5" t="str">
        <f>HYPERLINK("http://www.eatonpowersource.com/products/configure/industrial%20valves/details/616783","616783")</f>
        <v>616783</v>
      </c>
      <c r="B6274" s="6" t="s">
        <v>6233</v>
      </c>
    </row>
    <row r="6275" spans="1:2" x14ac:dyDescent="0.3">
      <c r="A6275" s="7" t="str">
        <f>HYPERLINK("http://www.eatonpowersource.com/products/configure/industrial%20valves/details/616784","616784")</f>
        <v>616784</v>
      </c>
      <c r="B6275" s="8" t="s">
        <v>6234</v>
      </c>
    </row>
    <row r="6276" spans="1:2" x14ac:dyDescent="0.3">
      <c r="A6276" s="5" t="str">
        <f>HYPERLINK("http://www.eatonpowersource.com/products/configure/industrial%20valves/details/616785","616785")</f>
        <v>616785</v>
      </c>
      <c r="B6276" s="6" t="s">
        <v>6235</v>
      </c>
    </row>
    <row r="6277" spans="1:2" x14ac:dyDescent="0.3">
      <c r="A6277" s="7" t="str">
        <f>HYPERLINK("http://www.eatonpowersource.com/products/configure/industrial%20valves/details/616786","616786")</f>
        <v>616786</v>
      </c>
      <c r="B6277" s="8" t="s">
        <v>6236</v>
      </c>
    </row>
    <row r="6278" spans="1:2" x14ac:dyDescent="0.3">
      <c r="A6278" s="5" t="str">
        <f>HYPERLINK("http://www.eatonpowersource.com/products/configure/industrial%20valves/details/616787","616787")</f>
        <v>616787</v>
      </c>
      <c r="B6278" s="6" t="s">
        <v>6237</v>
      </c>
    </row>
    <row r="6279" spans="1:2" x14ac:dyDescent="0.3">
      <c r="A6279" s="7" t="str">
        <f>HYPERLINK("http://www.eatonpowersource.com/products/configure/industrial%20valves/details/616788","616788")</f>
        <v>616788</v>
      </c>
      <c r="B6279" s="8" t="s">
        <v>6238</v>
      </c>
    </row>
    <row r="6280" spans="1:2" x14ac:dyDescent="0.3">
      <c r="A6280" s="5" t="str">
        <f>HYPERLINK("http://www.eatonpowersource.com/products/configure/industrial%20valves/details/616789","616789")</f>
        <v>616789</v>
      </c>
      <c r="B6280" s="6" t="s">
        <v>6239</v>
      </c>
    </row>
    <row r="6281" spans="1:2" x14ac:dyDescent="0.3">
      <c r="A6281" s="7" t="str">
        <f>HYPERLINK("http://www.eatonpowersource.com/products/configure/industrial%20valves/details/616790","616790")</f>
        <v>616790</v>
      </c>
      <c r="B6281" s="8" t="s">
        <v>6240</v>
      </c>
    </row>
    <row r="6282" spans="1:2" x14ac:dyDescent="0.3">
      <c r="A6282" s="5" t="str">
        <f>HYPERLINK("http://www.eatonpowersource.com/products/configure/industrial%20valves/details/616791","616791")</f>
        <v>616791</v>
      </c>
      <c r="B6282" s="6" t="s">
        <v>6241</v>
      </c>
    </row>
    <row r="6283" spans="1:2" x14ac:dyDescent="0.3">
      <c r="A6283" s="7" t="str">
        <f>HYPERLINK("http://www.eatonpowersource.com/products/configure/industrial%20valves/details/616894","616894")</f>
        <v>616894</v>
      </c>
      <c r="B6283" s="8" t="s">
        <v>6242</v>
      </c>
    </row>
    <row r="6284" spans="1:2" x14ac:dyDescent="0.3">
      <c r="A6284" s="5" t="str">
        <f>HYPERLINK("http://www.eatonpowersource.com/products/configure/industrial%20valves/details/616938","616938")</f>
        <v>616938</v>
      </c>
      <c r="B6284" s="6" t="s">
        <v>6243</v>
      </c>
    </row>
    <row r="6285" spans="1:2" x14ac:dyDescent="0.3">
      <c r="A6285" s="7" t="str">
        <f>HYPERLINK("http://www.eatonpowersource.com/products/configure/industrial%20valves/details/616939","616939")</f>
        <v>616939</v>
      </c>
      <c r="B6285" s="8" t="s">
        <v>6244</v>
      </c>
    </row>
    <row r="6286" spans="1:2" x14ac:dyDescent="0.3">
      <c r="A6286" s="5" t="str">
        <f>HYPERLINK("http://www.eatonpowersource.com/products/configure/industrial%20valves/details/616941","616941")</f>
        <v>616941</v>
      </c>
      <c r="B6286" s="6" t="s">
        <v>6245</v>
      </c>
    </row>
    <row r="6287" spans="1:2" x14ac:dyDescent="0.3">
      <c r="A6287" s="7" t="str">
        <f>HYPERLINK("http://www.eatonpowersource.com/products/configure/industrial%20valves/details/616944","616944")</f>
        <v>616944</v>
      </c>
      <c r="B6287" s="8" t="s">
        <v>6246</v>
      </c>
    </row>
    <row r="6288" spans="1:2" x14ac:dyDescent="0.3">
      <c r="A6288" s="5" t="str">
        <f>HYPERLINK("http://www.eatonpowersource.com/products/configure/industrial%20valves/details/616946","616946")</f>
        <v>616946</v>
      </c>
      <c r="B6288" s="6" t="s">
        <v>6247</v>
      </c>
    </row>
    <row r="6289" spans="1:2" x14ac:dyDescent="0.3">
      <c r="A6289" s="7" t="str">
        <f>HYPERLINK("http://www.eatonpowersource.com/products/configure/industrial%20valves/details/616947","616947")</f>
        <v>616947</v>
      </c>
      <c r="B6289" s="8" t="s">
        <v>6248</v>
      </c>
    </row>
    <row r="6290" spans="1:2" x14ac:dyDescent="0.3">
      <c r="A6290" s="5" t="str">
        <f>HYPERLINK("http://www.eatonpowersource.com/products/configure/industrial%20valves/details/616956","616956")</f>
        <v>616956</v>
      </c>
      <c r="B6290" s="6" t="s">
        <v>6249</v>
      </c>
    </row>
    <row r="6291" spans="1:2" x14ac:dyDescent="0.3">
      <c r="A6291" s="7" t="str">
        <f>HYPERLINK("http://www.eatonpowersource.com/products/configure/industrial%20valves/details/616957","616957")</f>
        <v>616957</v>
      </c>
      <c r="B6291" s="8" t="s">
        <v>6250</v>
      </c>
    </row>
    <row r="6292" spans="1:2" x14ac:dyDescent="0.3">
      <c r="A6292" s="5" t="str">
        <f>HYPERLINK("http://www.eatonpowersource.com/products/configure/industrial%20valves/details/616958","616958")</f>
        <v>616958</v>
      </c>
      <c r="B6292" s="6" t="s">
        <v>6251</v>
      </c>
    </row>
    <row r="6293" spans="1:2" x14ac:dyDescent="0.3">
      <c r="A6293" s="7" t="str">
        <f>HYPERLINK("http://www.eatonpowersource.com/products/configure/industrial%20valves/details/616961","616961")</f>
        <v>616961</v>
      </c>
      <c r="B6293" s="8" t="s">
        <v>6252</v>
      </c>
    </row>
    <row r="6294" spans="1:2" x14ac:dyDescent="0.3">
      <c r="A6294" s="5" t="str">
        <f>HYPERLINK("http://www.eatonpowersource.com/products/configure/industrial%20valves/details/616962","616962")</f>
        <v>616962</v>
      </c>
      <c r="B6294" s="6" t="s">
        <v>6253</v>
      </c>
    </row>
    <row r="6295" spans="1:2" x14ac:dyDescent="0.3">
      <c r="A6295" s="7" t="str">
        <f>HYPERLINK("http://www.eatonpowersource.com/products/configure/industrial%20valves/details/616965","616965")</f>
        <v>616965</v>
      </c>
      <c r="B6295" s="8" t="s">
        <v>6254</v>
      </c>
    </row>
    <row r="6296" spans="1:2" x14ac:dyDescent="0.3">
      <c r="A6296" s="5" t="str">
        <f>HYPERLINK("http://www.eatonpowersource.com/products/configure/industrial%20valves/details/638218","638218")</f>
        <v>638218</v>
      </c>
      <c r="B6296" s="6" t="s">
        <v>6255</v>
      </c>
    </row>
    <row r="6297" spans="1:2" x14ac:dyDescent="0.3">
      <c r="A6297" s="7" t="str">
        <f>HYPERLINK("http://www.eatonpowersource.com/products/configure/industrial%20valves/details/638271","638271")</f>
        <v>638271</v>
      </c>
      <c r="B6297" s="8" t="s">
        <v>6256</v>
      </c>
    </row>
    <row r="6298" spans="1:2" x14ac:dyDescent="0.3">
      <c r="A6298" s="5" t="str">
        <f>HYPERLINK("http://www.eatonpowersource.com/products/configure/industrial%20valves/details/638584","638584")</f>
        <v>638584</v>
      </c>
      <c r="B6298" s="6" t="s">
        <v>6257</v>
      </c>
    </row>
    <row r="6299" spans="1:2" x14ac:dyDescent="0.3">
      <c r="A6299" s="7" t="str">
        <f>HYPERLINK("http://www.eatonpowersource.com/products/configure/industrial%20valves/details/638590","638590")</f>
        <v>638590</v>
      </c>
      <c r="B6299" s="8" t="s">
        <v>6258</v>
      </c>
    </row>
    <row r="6300" spans="1:2" x14ac:dyDescent="0.3">
      <c r="A6300" s="5" t="str">
        <f>HYPERLINK("http://www.eatonpowersource.com/products/configure/industrial%20valves/details/638591","638591")</f>
        <v>638591</v>
      </c>
      <c r="B6300" s="6" t="s">
        <v>6259</v>
      </c>
    </row>
    <row r="6301" spans="1:2" x14ac:dyDescent="0.3">
      <c r="A6301" s="7" t="str">
        <f>HYPERLINK("http://www.eatonpowersource.com/products/configure/industrial%20valves/details/638592","638592")</f>
        <v>638592</v>
      </c>
      <c r="B6301" s="8" t="s">
        <v>6260</v>
      </c>
    </row>
    <row r="6302" spans="1:2" x14ac:dyDescent="0.3">
      <c r="A6302" s="5" t="str">
        <f>HYPERLINK("http://www.eatonpowersource.com/products/configure/industrial%20valves/details/638593","638593")</f>
        <v>638593</v>
      </c>
      <c r="B6302" s="6" t="s">
        <v>6261</v>
      </c>
    </row>
    <row r="6303" spans="1:2" x14ac:dyDescent="0.3">
      <c r="A6303" s="7" t="str">
        <f>HYPERLINK("http://www.eatonpowersource.com/products/configure/industrial%20valves/details/638813","638813")</f>
        <v>638813</v>
      </c>
      <c r="B6303" s="8" t="s">
        <v>6262</v>
      </c>
    </row>
    <row r="6304" spans="1:2" x14ac:dyDescent="0.3">
      <c r="A6304" s="5" t="str">
        <f>HYPERLINK("http://www.eatonpowersource.com/products/configure/industrial%20valves/details/638814","638814")</f>
        <v>638814</v>
      </c>
      <c r="B6304" s="6" t="s">
        <v>6263</v>
      </c>
    </row>
    <row r="6305" spans="1:2" x14ac:dyDescent="0.3">
      <c r="A6305" s="7" t="str">
        <f>HYPERLINK("http://www.eatonpowersource.com/products/configure/industrial%20valves/details/638971","638971")</f>
        <v>638971</v>
      </c>
      <c r="B6305" s="8" t="s">
        <v>6264</v>
      </c>
    </row>
    <row r="6306" spans="1:2" x14ac:dyDescent="0.3">
      <c r="A6306" s="5" t="str">
        <f>HYPERLINK("http://www.eatonpowersource.com/products/configure/industrial%20valves/details/638972","638972")</f>
        <v>638972</v>
      </c>
      <c r="B6306" s="6" t="s">
        <v>6265</v>
      </c>
    </row>
    <row r="6307" spans="1:2" x14ac:dyDescent="0.3">
      <c r="A6307" s="7" t="str">
        <f>HYPERLINK("http://www.eatonpowersource.com/products/configure/industrial%20valves/details/639066","639066")</f>
        <v>639066</v>
      </c>
      <c r="B6307" s="8" t="s">
        <v>6266</v>
      </c>
    </row>
    <row r="6308" spans="1:2" x14ac:dyDescent="0.3">
      <c r="A6308" s="5" t="str">
        <f>HYPERLINK("http://www.eatonpowersource.com/products/configure/industrial%20valves/details/639321","639321")</f>
        <v>639321</v>
      </c>
      <c r="B6308" s="6" t="s">
        <v>6267</v>
      </c>
    </row>
    <row r="6309" spans="1:2" x14ac:dyDescent="0.3">
      <c r="A6309" s="7" t="str">
        <f>HYPERLINK("http://www.eatonpowersource.com/products/configure/industrial%20valves/details/639345","639345")</f>
        <v>639345</v>
      </c>
      <c r="B6309" s="8" t="s">
        <v>6268</v>
      </c>
    </row>
    <row r="6310" spans="1:2" x14ac:dyDescent="0.3">
      <c r="A6310" s="5" t="str">
        <f>HYPERLINK("http://www.eatonpowersource.com/products/configure/industrial%20valves/details/639373","639373")</f>
        <v>639373</v>
      </c>
      <c r="B6310" s="6" t="s">
        <v>6269</v>
      </c>
    </row>
    <row r="6311" spans="1:2" x14ac:dyDescent="0.3">
      <c r="A6311" s="7" t="str">
        <f>HYPERLINK("http://www.eatonpowersource.com/products/configure/industrial%20valves/details/639380","639380")</f>
        <v>639380</v>
      </c>
      <c r="B6311" s="8" t="s">
        <v>6270</v>
      </c>
    </row>
    <row r="6312" spans="1:2" x14ac:dyDescent="0.3">
      <c r="A6312" s="5" t="str">
        <f>HYPERLINK("http://www.eatonpowersource.com/products/configure/industrial%20valves/details/639393","639393")</f>
        <v>639393</v>
      </c>
      <c r="B6312" s="6" t="s">
        <v>6271</v>
      </c>
    </row>
    <row r="6313" spans="1:2" x14ac:dyDescent="0.3">
      <c r="A6313" s="7" t="str">
        <f>HYPERLINK("http://www.eatonpowersource.com/products/configure/industrial%20valves/details/639394","639394")</f>
        <v>639394</v>
      </c>
      <c r="B6313" s="8" t="s">
        <v>6272</v>
      </c>
    </row>
    <row r="6314" spans="1:2" x14ac:dyDescent="0.3">
      <c r="A6314" s="5" t="str">
        <f>HYPERLINK("http://www.eatonpowersource.com/products/configure/industrial%20valves/details/639522","639522")</f>
        <v>639522</v>
      </c>
      <c r="B6314" s="6" t="s">
        <v>6273</v>
      </c>
    </row>
    <row r="6315" spans="1:2" x14ac:dyDescent="0.3">
      <c r="A6315" s="7" t="str">
        <f>HYPERLINK("http://www.eatonpowersource.com/products/configure/industrial%20valves/details/639540","639540")</f>
        <v>639540</v>
      </c>
      <c r="B6315" s="8" t="s">
        <v>6274</v>
      </c>
    </row>
    <row r="6316" spans="1:2" x14ac:dyDescent="0.3">
      <c r="A6316" s="5" t="str">
        <f>HYPERLINK("http://www.eatonpowersource.com/products/configure/industrial%20valves/details/639571","639571")</f>
        <v>639571</v>
      </c>
      <c r="B6316" s="6" t="s">
        <v>6275</v>
      </c>
    </row>
    <row r="6317" spans="1:2" x14ac:dyDescent="0.3">
      <c r="A6317" s="7" t="str">
        <f>HYPERLINK("http://www.eatonpowersource.com/products/configure/industrial%20valves/details/639572","639572")</f>
        <v>639572</v>
      </c>
      <c r="B6317" s="8" t="s">
        <v>6276</v>
      </c>
    </row>
    <row r="6318" spans="1:2" x14ac:dyDescent="0.3">
      <c r="A6318" s="5" t="str">
        <f>HYPERLINK("http://www.eatonpowersource.com/products/configure/industrial%20valves/details/639601","639601")</f>
        <v>639601</v>
      </c>
      <c r="B6318" s="6" t="s">
        <v>6277</v>
      </c>
    </row>
    <row r="6319" spans="1:2" x14ac:dyDescent="0.3">
      <c r="A6319" s="7" t="str">
        <f>HYPERLINK("http://www.eatonpowersource.com/products/configure/industrial%20valves/details/639609","639609")</f>
        <v>639609</v>
      </c>
      <c r="B6319" s="8" t="s">
        <v>6278</v>
      </c>
    </row>
    <row r="6320" spans="1:2" x14ac:dyDescent="0.3">
      <c r="A6320" s="5" t="str">
        <f>HYPERLINK("http://www.eatonpowersource.com/products/configure/industrial%20valves/details/639610","639610")</f>
        <v>639610</v>
      </c>
      <c r="B6320" s="6" t="s">
        <v>6279</v>
      </c>
    </row>
    <row r="6321" spans="1:2" x14ac:dyDescent="0.3">
      <c r="A6321" s="7" t="str">
        <f>HYPERLINK("http://www.eatonpowersource.com/products/configure/industrial%20valves/details/639693","639693")</f>
        <v>639693</v>
      </c>
      <c r="B6321" s="8" t="s">
        <v>6280</v>
      </c>
    </row>
    <row r="6322" spans="1:2" x14ac:dyDescent="0.3">
      <c r="A6322" s="5" t="str">
        <f>HYPERLINK("http://www.eatonpowersource.com/products/configure/industrial%20valves/details/639718","639718")</f>
        <v>639718</v>
      </c>
      <c r="B6322" s="6" t="s">
        <v>6281</v>
      </c>
    </row>
    <row r="6323" spans="1:2" x14ac:dyDescent="0.3">
      <c r="A6323" s="7" t="str">
        <f>HYPERLINK("http://www.eatonpowersource.com/products/configure/industrial%20valves/details/639750","639750")</f>
        <v>639750</v>
      </c>
      <c r="B6323" s="8" t="s">
        <v>6282</v>
      </c>
    </row>
    <row r="6324" spans="1:2" x14ac:dyDescent="0.3">
      <c r="A6324" s="5" t="str">
        <f>HYPERLINK("http://www.eatonpowersource.com/products/configure/industrial%20valves/details/639768","639768")</f>
        <v>639768</v>
      </c>
      <c r="B6324" s="6" t="s">
        <v>6283</v>
      </c>
    </row>
    <row r="6325" spans="1:2" x14ac:dyDescent="0.3">
      <c r="A6325" s="7" t="str">
        <f>HYPERLINK("http://www.eatonpowersource.com/products/configure/industrial%20valves/details/639807","639807")</f>
        <v>639807</v>
      </c>
      <c r="B6325" s="8" t="s">
        <v>6284</v>
      </c>
    </row>
    <row r="6326" spans="1:2" x14ac:dyDescent="0.3">
      <c r="A6326" s="5" t="str">
        <f>HYPERLINK("http://www.eatonpowersource.com/products/configure/industrial%20valves/details/639843","639843")</f>
        <v>639843</v>
      </c>
      <c r="B6326" s="6" t="s">
        <v>6285</v>
      </c>
    </row>
    <row r="6327" spans="1:2" x14ac:dyDescent="0.3">
      <c r="A6327" s="7" t="str">
        <f>HYPERLINK("http://www.eatonpowersource.com/products/configure/industrial%20valves/details/639926","639926")</f>
        <v>639926</v>
      </c>
      <c r="B6327" s="8" t="s">
        <v>6286</v>
      </c>
    </row>
    <row r="6328" spans="1:2" x14ac:dyDescent="0.3">
      <c r="A6328" s="5" t="str">
        <f>HYPERLINK("http://www.eatonpowersource.com/products/configure/industrial%20valves/details/639943","639943")</f>
        <v>639943</v>
      </c>
      <c r="B6328" s="6" t="s">
        <v>6287</v>
      </c>
    </row>
    <row r="6329" spans="1:2" x14ac:dyDescent="0.3">
      <c r="A6329" s="7" t="str">
        <f>HYPERLINK("http://www.eatonpowersource.com/products/configure/industrial%20valves/details/639982","639982")</f>
        <v>639982</v>
      </c>
      <c r="B6329" s="8" t="s">
        <v>6288</v>
      </c>
    </row>
    <row r="6330" spans="1:2" x14ac:dyDescent="0.3">
      <c r="A6330" s="5" t="str">
        <f>HYPERLINK("http://www.eatonpowersource.com/products/configure/industrial%20valves/details/639983","639983")</f>
        <v>639983</v>
      </c>
      <c r="B6330" s="6" t="s">
        <v>6289</v>
      </c>
    </row>
    <row r="6331" spans="1:2" x14ac:dyDescent="0.3">
      <c r="A6331" s="7" t="str">
        <f>HYPERLINK("http://www.eatonpowersource.com/products/configure/industrial%20valves/details/709512","709512")</f>
        <v>709512</v>
      </c>
      <c r="B6331" s="8" t="s">
        <v>6290</v>
      </c>
    </row>
    <row r="6332" spans="1:2" x14ac:dyDescent="0.3">
      <c r="A6332" s="5" t="str">
        <f>HYPERLINK("http://www.eatonpowersource.com/products/configure/industrial%20valves/details/719669","719669")</f>
        <v>719669</v>
      </c>
      <c r="B6332" s="6" t="s">
        <v>6291</v>
      </c>
    </row>
    <row r="6333" spans="1:2" x14ac:dyDescent="0.3">
      <c r="A6333" s="7" t="str">
        <f>HYPERLINK("http://www.eatonpowersource.com/products/configure/industrial%20valves/details/719679","719679")</f>
        <v>719679</v>
      </c>
      <c r="B6333" s="8" t="s">
        <v>6292</v>
      </c>
    </row>
    <row r="6334" spans="1:2" x14ac:dyDescent="0.3">
      <c r="A6334" s="5" t="str">
        <f>HYPERLINK("http://www.eatonpowersource.com/products/configure/industrial%20valves/details/719680","719680")</f>
        <v>719680</v>
      </c>
      <c r="B6334" s="6" t="s">
        <v>6293</v>
      </c>
    </row>
    <row r="6335" spans="1:2" x14ac:dyDescent="0.3">
      <c r="A6335" s="7" t="str">
        <f>HYPERLINK("http://www.eatonpowersource.com/products/configure/industrial%20valves/details/719692","719692")</f>
        <v>719692</v>
      </c>
      <c r="B6335" s="8" t="s">
        <v>6294</v>
      </c>
    </row>
    <row r="6336" spans="1:2" x14ac:dyDescent="0.3">
      <c r="A6336" s="5" t="str">
        <f>HYPERLINK("http://www.eatonpowersource.com/products/configure/industrial%20valves/details/719702","719702")</f>
        <v>719702</v>
      </c>
      <c r="B6336" s="6" t="s">
        <v>6295</v>
      </c>
    </row>
    <row r="6337" spans="1:2" x14ac:dyDescent="0.3">
      <c r="A6337" s="7" t="str">
        <f>HYPERLINK("http://www.eatonpowersource.com/products/configure/industrial%20valves/details/719845","719845")</f>
        <v>719845</v>
      </c>
      <c r="B6337" s="8" t="s">
        <v>6296</v>
      </c>
    </row>
    <row r="6338" spans="1:2" x14ac:dyDescent="0.3">
      <c r="A6338" s="5" t="str">
        <f>HYPERLINK("http://www.eatonpowersource.com/products/configure/industrial%20valves/details/719846","719846")</f>
        <v>719846</v>
      </c>
      <c r="B6338" s="6" t="s">
        <v>6297</v>
      </c>
    </row>
    <row r="6339" spans="1:2" x14ac:dyDescent="0.3">
      <c r="A6339" s="7" t="str">
        <f>HYPERLINK("http://www.eatonpowersource.com/products/configure/industrial%20valves/details/719862","719862")</f>
        <v>719862</v>
      </c>
      <c r="B6339" s="8" t="s">
        <v>6298</v>
      </c>
    </row>
    <row r="6340" spans="1:2" x14ac:dyDescent="0.3">
      <c r="A6340" s="5" t="str">
        <f>HYPERLINK("http://www.eatonpowersource.com/products/configure/industrial%20valves/details/719946","719946")</f>
        <v>719946</v>
      </c>
      <c r="B6340" s="6" t="s">
        <v>6299</v>
      </c>
    </row>
    <row r="6341" spans="1:2" x14ac:dyDescent="0.3">
      <c r="A6341" s="7" t="str">
        <f>HYPERLINK("http://www.eatonpowersource.com/products/configure/industrial%20valves/details/719958","719958")</f>
        <v>719958</v>
      </c>
      <c r="B6341" s="8" t="s">
        <v>6300</v>
      </c>
    </row>
    <row r="6342" spans="1:2" x14ac:dyDescent="0.3">
      <c r="A6342" s="5" t="str">
        <f>HYPERLINK("http://www.eatonpowersource.com/products/configure/industrial%20valves/details/720001","720001")</f>
        <v>720001</v>
      </c>
      <c r="B6342" s="6" t="s">
        <v>6301</v>
      </c>
    </row>
    <row r="6343" spans="1:2" x14ac:dyDescent="0.3">
      <c r="A6343" s="7" t="str">
        <f>HYPERLINK("http://www.eatonpowersource.com/products/configure/industrial%20valves/details/720190","720190")</f>
        <v>720190</v>
      </c>
      <c r="B6343" s="8" t="s">
        <v>6302</v>
      </c>
    </row>
    <row r="6344" spans="1:2" x14ac:dyDescent="0.3">
      <c r="A6344" s="5" t="str">
        <f>HYPERLINK("http://www.eatonpowersource.com/products/configure/industrial%20valves/details/720200","720200")</f>
        <v>720200</v>
      </c>
      <c r="B6344" s="6" t="s">
        <v>6303</v>
      </c>
    </row>
    <row r="6345" spans="1:2" x14ac:dyDescent="0.3">
      <c r="A6345" s="7" t="str">
        <f>HYPERLINK("http://www.eatonpowersource.com/products/configure/industrial%20valves/details/720201","720201")</f>
        <v>720201</v>
      </c>
      <c r="B6345" s="8" t="s">
        <v>6304</v>
      </c>
    </row>
    <row r="6346" spans="1:2" x14ac:dyDescent="0.3">
      <c r="A6346" s="5" t="str">
        <f>HYPERLINK("http://www.eatonpowersource.com/products/configure/industrial%20valves/details/720204","720204")</f>
        <v>720204</v>
      </c>
      <c r="B6346" s="6" t="s">
        <v>6305</v>
      </c>
    </row>
    <row r="6347" spans="1:2" x14ac:dyDescent="0.3">
      <c r="A6347" s="7" t="str">
        <f>HYPERLINK("http://www.eatonpowersource.com/products/configure/industrial%20valves/details/720236","720236")</f>
        <v>720236</v>
      </c>
      <c r="B6347" s="8" t="s">
        <v>6306</v>
      </c>
    </row>
    <row r="6348" spans="1:2" x14ac:dyDescent="0.3">
      <c r="A6348" s="5" t="str">
        <f>HYPERLINK("http://www.eatonpowersource.com/products/configure/industrial%20valves/details/720237","720237")</f>
        <v>720237</v>
      </c>
      <c r="B6348" s="6" t="s">
        <v>6307</v>
      </c>
    </row>
    <row r="6349" spans="1:2" x14ac:dyDescent="0.3">
      <c r="A6349" s="7" t="str">
        <f>HYPERLINK("http://www.eatonpowersource.com/products/configure/industrial%20valves/details/720243","720243")</f>
        <v>720243</v>
      </c>
      <c r="B6349" s="8" t="s">
        <v>6308</v>
      </c>
    </row>
    <row r="6350" spans="1:2" x14ac:dyDescent="0.3">
      <c r="A6350" s="5" t="str">
        <f>HYPERLINK("http://www.eatonpowersource.com/products/configure/industrial%20valves/details/720378","720378")</f>
        <v>720378</v>
      </c>
      <c r="B6350" s="6" t="s">
        <v>6309</v>
      </c>
    </row>
    <row r="6351" spans="1:2" x14ac:dyDescent="0.3">
      <c r="A6351" s="7" t="str">
        <f>HYPERLINK("http://www.eatonpowersource.com/products/configure/industrial%20valves/details/720398","720398")</f>
        <v>720398</v>
      </c>
      <c r="B6351" s="8" t="s">
        <v>6310</v>
      </c>
    </row>
    <row r="6352" spans="1:2" x14ac:dyDescent="0.3">
      <c r="A6352" s="5" t="str">
        <f>HYPERLINK("http://www.eatonpowersource.com/products/configure/industrial%20valves/details/720421","720421")</f>
        <v>720421</v>
      </c>
      <c r="B6352" s="6" t="s">
        <v>6311</v>
      </c>
    </row>
    <row r="6353" spans="1:2" x14ac:dyDescent="0.3">
      <c r="A6353" s="7" t="str">
        <f>HYPERLINK("http://www.eatonpowersource.com/products/configure/industrial%20valves/details/720526","720526")</f>
        <v>720526</v>
      </c>
      <c r="B6353" s="8" t="s">
        <v>6312</v>
      </c>
    </row>
    <row r="6354" spans="1:2" x14ac:dyDescent="0.3">
      <c r="A6354" s="5" t="str">
        <f>HYPERLINK("http://www.eatonpowersource.com/products/configure/industrial%20valves/details/829an00042a","829AN00042A")</f>
        <v>829AN00042A</v>
      </c>
      <c r="B6354" s="6" t="s">
        <v>6313</v>
      </c>
    </row>
    <row r="6355" spans="1:2" x14ac:dyDescent="0.3">
      <c r="A6355" s="7" t="str">
        <f>HYPERLINK("http://www.eatonpowersource.com/products/configure/industrial%20valves/details/829an00062a","829AN00062A")</f>
        <v>829AN00062A</v>
      </c>
      <c r="B6355" s="8" t="s">
        <v>6314</v>
      </c>
    </row>
    <row r="6356" spans="1:2" x14ac:dyDescent="0.3">
      <c r="A6356" s="5" t="str">
        <f>HYPERLINK("http://www.eatonpowersource.com/products/configure/industrial%20valves/details/829an00081a","829AN00081A")</f>
        <v>829AN00081A</v>
      </c>
      <c r="B6356" s="6" t="s">
        <v>6315</v>
      </c>
    </row>
    <row r="6357" spans="1:2" x14ac:dyDescent="0.3">
      <c r="A6357" s="7" t="str">
        <f>HYPERLINK("http://www.eatonpowersource.com/products/configure/industrial%20valves/details/829an00090a","829AN00090A")</f>
        <v>829AN00090A</v>
      </c>
      <c r="B6357" s="8" t="s">
        <v>6316</v>
      </c>
    </row>
    <row r="6358" spans="1:2" x14ac:dyDescent="0.3">
      <c r="A6358" s="5" t="str">
        <f>HYPERLINK("http://www.eatonpowersource.com/products/configure/industrial%20valves/details/829an00091a","829AN00091A")</f>
        <v>829AN00091A</v>
      </c>
      <c r="B6358" s="6" t="s">
        <v>6317</v>
      </c>
    </row>
    <row r="6359" spans="1:2" x14ac:dyDescent="0.3">
      <c r="A6359" s="7" t="str">
        <f>HYPERLINK("http://www.eatonpowersource.com/products/configure/industrial%20valves/details/829an00093a","829AN00093A")</f>
        <v>829AN00093A</v>
      </c>
      <c r="B6359" s="8" t="s">
        <v>6318</v>
      </c>
    </row>
    <row r="6360" spans="1:2" x14ac:dyDescent="0.3">
      <c r="A6360" s="5" t="str">
        <f>HYPERLINK("http://www.eatonpowersource.com/products/configure/industrial%20valves/details/829an00094a","829AN00094A")</f>
        <v>829AN00094A</v>
      </c>
      <c r="B6360" s="6" t="s">
        <v>6319</v>
      </c>
    </row>
    <row r="6361" spans="1:2" x14ac:dyDescent="0.3">
      <c r="A6361" s="7" t="str">
        <f>HYPERLINK("http://www.eatonpowersource.com/products/configure/industrial%20valves/details/829an00095a","829AN00095A")</f>
        <v>829AN00095A</v>
      </c>
      <c r="B6361" s="8" t="s">
        <v>6320</v>
      </c>
    </row>
    <row r="6362" spans="1:2" x14ac:dyDescent="0.3">
      <c r="A6362" s="5" t="str">
        <f>HYPERLINK("http://www.eatonpowersource.com/products/configure/industrial%20valves/details/829an00097a","829AN00097A")</f>
        <v>829AN00097A</v>
      </c>
      <c r="B6362" s="6" t="s">
        <v>6321</v>
      </c>
    </row>
    <row r="6363" spans="1:2" x14ac:dyDescent="0.3">
      <c r="A6363" s="7" t="str">
        <f>HYPERLINK("http://www.eatonpowersource.com/products/configure/industrial%20valves/details/829an00098a","829AN00098A")</f>
        <v>829AN00098A</v>
      </c>
      <c r="B6363" s="8" t="s">
        <v>6322</v>
      </c>
    </row>
    <row r="6364" spans="1:2" x14ac:dyDescent="0.3">
      <c r="A6364" s="5" t="str">
        <f>HYPERLINK("http://www.eatonpowersource.com/products/configure/industrial%20valves/details/829an00099a","829AN00099A")</f>
        <v>829AN00099A</v>
      </c>
      <c r="B6364" s="6" t="s">
        <v>6323</v>
      </c>
    </row>
    <row r="6365" spans="1:2" x14ac:dyDescent="0.3">
      <c r="A6365" s="7" t="str">
        <f>HYPERLINK("http://www.eatonpowersource.com/products/configure/industrial%20valves/details/859002","859002")</f>
        <v>859002</v>
      </c>
      <c r="B6365" s="8" t="s">
        <v>6324</v>
      </c>
    </row>
    <row r="6366" spans="1:2" x14ac:dyDescent="0.3">
      <c r="A6366" s="5" t="str">
        <f>HYPERLINK("http://www.eatonpowersource.com/products/configure/industrial%20valves/details/859066","859066")</f>
        <v>859066</v>
      </c>
      <c r="B6366" s="6" t="s">
        <v>6325</v>
      </c>
    </row>
    <row r="6367" spans="1:2" x14ac:dyDescent="0.3">
      <c r="A6367" s="7" t="str">
        <f>HYPERLINK("http://www.eatonpowersource.com/products/configure/industrial%20valves/details/859114","859114")</f>
        <v>859114</v>
      </c>
      <c r="B6367" s="8" t="s">
        <v>6326</v>
      </c>
    </row>
    <row r="6368" spans="1:2" x14ac:dyDescent="0.3">
      <c r="A6368" s="5" t="str">
        <f>HYPERLINK("http://www.eatonpowersource.com/products/configure/industrial%20valves/details/869507","869507")</f>
        <v>869507</v>
      </c>
      <c r="B6368" s="6" t="s">
        <v>6327</v>
      </c>
    </row>
    <row r="6369" spans="1:2" x14ac:dyDescent="0.3">
      <c r="A6369" s="7" t="str">
        <f>HYPERLINK("http://www.eatonpowersource.com/products/configure/industrial%20valves/details/870615","870615")</f>
        <v>870615</v>
      </c>
      <c r="B6369" s="8" t="s">
        <v>6328</v>
      </c>
    </row>
    <row r="6370" spans="1:2" x14ac:dyDescent="0.3">
      <c r="A6370" s="5" t="str">
        <f>HYPERLINK("http://www.eatonpowersource.com/products/configure/industrial%20valves/details/870623","870623")</f>
        <v>870623</v>
      </c>
      <c r="B6370" s="6" t="s">
        <v>6329</v>
      </c>
    </row>
    <row r="6371" spans="1:2" x14ac:dyDescent="0.3">
      <c r="A6371" s="7" t="str">
        <f>HYPERLINK("http://www.eatonpowersource.com/products/configure/industrial%20valves/details/870995","870995")</f>
        <v>870995</v>
      </c>
      <c r="B6371" s="8" t="s">
        <v>6330</v>
      </c>
    </row>
    <row r="6372" spans="1:2" x14ac:dyDescent="0.3">
      <c r="A6372" s="5" t="str">
        <f>HYPERLINK("http://www.eatonpowersource.com/products/configure/industrial%20valves/details/871399","871399")</f>
        <v>871399</v>
      </c>
      <c r="B6372" s="6" t="s">
        <v>6331</v>
      </c>
    </row>
    <row r="6373" spans="1:2" x14ac:dyDescent="0.3">
      <c r="A6373" s="7" t="str">
        <f>HYPERLINK("http://www.eatonpowersource.com/products/configure/industrial%20valves/details/871802","871802")</f>
        <v>871802</v>
      </c>
      <c r="B6373" s="8" t="s">
        <v>6332</v>
      </c>
    </row>
    <row r="6374" spans="1:2" x14ac:dyDescent="0.3">
      <c r="A6374" s="5" t="str">
        <f>HYPERLINK("http://www.eatonpowersource.com/products/configure/industrial%20valves/details/871890","871890")</f>
        <v>871890</v>
      </c>
      <c r="B6374" s="6" t="s">
        <v>6333</v>
      </c>
    </row>
    <row r="6375" spans="1:2" x14ac:dyDescent="0.3">
      <c r="A6375" s="7" t="str">
        <f>HYPERLINK("http://www.eatonpowersource.com/products/configure/industrial%20valves/details/872123","872123")</f>
        <v>872123</v>
      </c>
      <c r="B6375" s="8" t="s">
        <v>6334</v>
      </c>
    </row>
    <row r="6376" spans="1:2" x14ac:dyDescent="0.3">
      <c r="A6376" s="5" t="str">
        <f>HYPERLINK("http://www.eatonpowersource.com/products/configure/industrial%20valves/details/990805","990805")</f>
        <v>990805</v>
      </c>
      <c r="B6376" s="6" t="s">
        <v>6335</v>
      </c>
    </row>
    <row r="6377" spans="1:2" x14ac:dyDescent="0.3">
      <c r="A6377" s="7" t="str">
        <f>HYPERLINK("http://www.eatonpowersource.com/products/configure/industrial%20valves/details/990873","990873")</f>
        <v>990873</v>
      </c>
      <c r="B6377" s="8" t="s">
        <v>6336</v>
      </c>
    </row>
    <row r="6378" spans="1:2" x14ac:dyDescent="0.3">
      <c r="A6378" s="5" t="str">
        <f>HYPERLINK("http://www.eatonpowersource.com/products/configure/industrial%20valves/details/990927","990927")</f>
        <v>990927</v>
      </c>
      <c r="B6378" s="6" t="s">
        <v>6337</v>
      </c>
    </row>
    <row r="6379" spans="1:2" x14ac:dyDescent="0.3">
      <c r="A6379" s="7" t="str">
        <f>HYPERLINK("http://www.eatonpowersource.com/products/configure/industrial%20valves/details/990955","990955")</f>
        <v>990955</v>
      </c>
      <c r="B6379" s="8" t="s">
        <v>6338</v>
      </c>
    </row>
    <row r="6380" spans="1:2" x14ac:dyDescent="0.3">
      <c r="A6380" s="5" t="str">
        <f>HYPERLINK("http://www.eatonpowersource.com/products/configure/industrial%20valves/details/990997","990997")</f>
        <v>990997</v>
      </c>
      <c r="B6380" s="6" t="s">
        <v>6339</v>
      </c>
    </row>
    <row r="6381" spans="1:2" x14ac:dyDescent="0.3">
      <c r="A6381" s="7" t="str">
        <f>HYPERLINK("http://www.eatonpowersource.com/products/configure/industrial%20valves/details/991024","991024")</f>
        <v>991024</v>
      </c>
      <c r="B6381" s="8" t="s">
        <v>6340</v>
      </c>
    </row>
    <row r="6382" spans="1:2" x14ac:dyDescent="0.3">
      <c r="A6382" s="5" t="str">
        <f>HYPERLINK("http://www.eatonpowersource.com/products/configure/industrial%20valves/details/991071","991071")</f>
        <v>991071</v>
      </c>
      <c r="B6382" s="6" t="s">
        <v>6341</v>
      </c>
    </row>
    <row r="6383" spans="1:2" x14ac:dyDescent="0.3">
      <c r="A6383" s="7" t="str">
        <f>HYPERLINK("http://www.eatonpowersource.com/products/configure/industrial%20valves/details/991201","991201")</f>
        <v>991201</v>
      </c>
      <c r="B6383" s="8" t="s">
        <v>6342</v>
      </c>
    </row>
    <row r="6384" spans="1:2" x14ac:dyDescent="0.3">
      <c r="A6384" s="5" t="str">
        <f>HYPERLINK("http://www.eatonpowersource.com/products/configure/industrial%20valves/details/991249","991249")</f>
        <v>991249</v>
      </c>
      <c r="B6384" s="6" t="s">
        <v>6343</v>
      </c>
    </row>
    <row r="6385" spans="1:2" x14ac:dyDescent="0.3">
      <c r="A6385" s="7" t="str">
        <f>HYPERLINK("http://www.eatonpowersource.com/products/configure/industrial%20valves/details/991270","991270")</f>
        <v>991270</v>
      </c>
      <c r="B6385" s="8" t="s">
        <v>6344</v>
      </c>
    </row>
    <row r="6386" spans="1:2" x14ac:dyDescent="0.3">
      <c r="A6386" s="5" t="str">
        <f>HYPERLINK("http://www.eatonpowersource.com/products/configure/industrial%20valves/details/991271","991271")</f>
        <v>991271</v>
      </c>
      <c r="B6386" s="6" t="s">
        <v>6345</v>
      </c>
    </row>
    <row r="6387" spans="1:2" x14ac:dyDescent="0.3">
      <c r="A6387" s="7" t="str">
        <f>HYPERLINK("http://www.eatonpowersource.com/products/configure/industrial%20valves/details/991272","991272")</f>
        <v>991272</v>
      </c>
      <c r="B6387" s="8" t="s">
        <v>6346</v>
      </c>
    </row>
    <row r="6388" spans="1:2" x14ac:dyDescent="0.3">
      <c r="A6388" s="5" t="str">
        <f>HYPERLINK("http://www.eatonpowersource.com/products/configure/industrial%20valves/details/991277","991277")</f>
        <v>991277</v>
      </c>
      <c r="B6388" s="6" t="s">
        <v>6347</v>
      </c>
    </row>
    <row r="6389" spans="1:2" x14ac:dyDescent="0.3">
      <c r="A6389" s="7" t="str">
        <f>HYPERLINK("http://www.eatonpowersource.com/products/configure/industrial%20valves/details/991287","991287")</f>
        <v>991287</v>
      </c>
      <c r="B6389" s="8" t="s">
        <v>6348</v>
      </c>
    </row>
    <row r="6390" spans="1:2" x14ac:dyDescent="0.3">
      <c r="A6390" s="5" t="str">
        <f>HYPERLINK("http://www.eatonpowersource.com/products/configure/industrial%20valves/details/991288","991288")</f>
        <v>991288</v>
      </c>
      <c r="B6390" s="6" t="s">
        <v>6349</v>
      </c>
    </row>
    <row r="6391" spans="1:2" x14ac:dyDescent="0.3">
      <c r="A6391" s="7" t="str">
        <f>HYPERLINK("http://www.eatonpowersource.com/products/configure/industrial%20valves/details/991313","991313")</f>
        <v>991313</v>
      </c>
      <c r="B6391" s="8" t="s">
        <v>6350</v>
      </c>
    </row>
    <row r="6392" spans="1:2" x14ac:dyDescent="0.3">
      <c r="A6392" s="5" t="str">
        <f>HYPERLINK("http://www.eatonpowersource.com/products/configure/industrial%20valves/details/991315","991315")</f>
        <v>991315</v>
      </c>
      <c r="B6392" s="6" t="s">
        <v>6351</v>
      </c>
    </row>
    <row r="6393" spans="1:2" x14ac:dyDescent="0.3">
      <c r="A6393" s="7" t="str">
        <f>HYPERLINK("http://www.eatonpowersource.com/products/configure/industrial%20valves/details/991349","991349")</f>
        <v>991349</v>
      </c>
      <c r="B6393" s="8" t="s">
        <v>6352</v>
      </c>
    </row>
    <row r="6394" spans="1:2" x14ac:dyDescent="0.3">
      <c r="A6394" s="5" t="str">
        <f>HYPERLINK("http://www.eatonpowersource.com/products/configure/industrial%20valves/details/991385","991385")</f>
        <v>991385</v>
      </c>
      <c r="B6394" s="6" t="s">
        <v>6353</v>
      </c>
    </row>
    <row r="6395" spans="1:2" x14ac:dyDescent="0.3">
      <c r="A6395" s="7" t="str">
        <f>HYPERLINK("http://www.eatonpowersource.com/products/configure/industrial%20valves/details/991402","991402")</f>
        <v>991402</v>
      </c>
      <c r="B6395" s="8" t="s">
        <v>6354</v>
      </c>
    </row>
    <row r="6396" spans="1:2" x14ac:dyDescent="0.3">
      <c r="A6396" s="5" t="str">
        <f>HYPERLINK("http://www.eatonpowersource.com/products/configure/industrial%20valves/details/991421","991421")</f>
        <v>991421</v>
      </c>
      <c r="B6396" s="6" t="s">
        <v>6355</v>
      </c>
    </row>
    <row r="6397" spans="1:2" x14ac:dyDescent="0.3">
      <c r="A6397" s="7" t="str">
        <f>HYPERLINK("http://www.eatonpowersource.com/products/configure/industrial%20valves/details/991449","991449")</f>
        <v>991449</v>
      </c>
      <c r="B6397" s="8" t="s">
        <v>6356</v>
      </c>
    </row>
    <row r="6398" spans="1:2" x14ac:dyDescent="0.3">
      <c r="A6398" s="5" t="str">
        <f>HYPERLINK("http://www.eatonpowersource.com/products/configure/industrial%20valves/details/991484","991484")</f>
        <v>991484</v>
      </c>
      <c r="B6398" s="6" t="s">
        <v>6357</v>
      </c>
    </row>
    <row r="6399" spans="1:2" x14ac:dyDescent="0.3">
      <c r="A6399" s="7" t="str">
        <f>HYPERLINK("http://www.eatonpowersource.com/products/configure/industrial%20valves/details/991490","991490")</f>
        <v>991490</v>
      </c>
      <c r="B6399" s="8" t="s">
        <v>6358</v>
      </c>
    </row>
    <row r="6400" spans="1:2" x14ac:dyDescent="0.3">
      <c r="A6400" s="5" t="str">
        <f>HYPERLINK("http://www.eatonpowersource.com/products/configure/industrial%20valves/details/991588","991588")</f>
        <v>991588</v>
      </c>
      <c r="B6400" s="6" t="s">
        <v>6359</v>
      </c>
    </row>
    <row r="6401" spans="1:2" x14ac:dyDescent="0.3">
      <c r="A6401" s="7" t="str">
        <f>HYPERLINK("http://www.eatonpowersource.com/products/configure/industrial%20valves/details/991821","991821")</f>
        <v>991821</v>
      </c>
      <c r="B6401" s="8" t="s">
        <v>6360</v>
      </c>
    </row>
    <row r="6402" spans="1:2" x14ac:dyDescent="0.3">
      <c r="A6402" s="5" t="str">
        <f>HYPERLINK("http://www.eatonpowersource.com/products/configure/industrial%20valves/details/991950","991950")</f>
        <v>991950</v>
      </c>
      <c r="B6402" s="6" t="s">
        <v>6361</v>
      </c>
    </row>
    <row r="6403" spans="1:2" x14ac:dyDescent="0.3">
      <c r="A6403" s="7" t="str">
        <f>HYPERLINK("http://www.eatonpowersource.com/products/configure/industrial%20valves/details/992086","992086")</f>
        <v>992086</v>
      </c>
      <c r="B6403" s="8" t="s">
        <v>6362</v>
      </c>
    </row>
    <row r="6404" spans="1:2" x14ac:dyDescent="0.3">
      <c r="A6404" s="5" t="str">
        <f>HYPERLINK("http://www.eatonpowersource.com/products/configure/industrial%20valves/details/992125","992125")</f>
        <v>992125</v>
      </c>
      <c r="B6404" s="6" t="s">
        <v>6363</v>
      </c>
    </row>
    <row r="6405" spans="1:2" x14ac:dyDescent="0.3">
      <c r="A6405" s="7" t="str">
        <f>HYPERLINK("http://www.eatonpowersource.com/products/configure/industrial%20valves/details/992206","992206")</f>
        <v>992206</v>
      </c>
      <c r="B6405" s="8" t="s">
        <v>6364</v>
      </c>
    </row>
    <row r="6406" spans="1:2" x14ac:dyDescent="0.3">
      <c r="A6406" s="5" t="str">
        <f>HYPERLINK("http://www.eatonpowersource.com/products/configure/industrial%20valves/details/992226","992226")</f>
        <v>992226</v>
      </c>
      <c r="B6406" s="6" t="s">
        <v>6365</v>
      </c>
    </row>
    <row r="6407" spans="1:2" x14ac:dyDescent="0.3">
      <c r="A6407" s="7" t="str">
        <f>HYPERLINK("http://www.eatonpowersource.com/products/configure/industrial%20valves/details/992240","992240")</f>
        <v>992240</v>
      </c>
      <c r="B6407" s="8" t="s">
        <v>6366</v>
      </c>
    </row>
    <row r="6408" spans="1:2" x14ac:dyDescent="0.3">
      <c r="A6408" s="5" t="str">
        <f>HYPERLINK("http://www.eatonpowersource.com/products/configure/industrial%20valves/details/992317","992317")</f>
        <v>992317</v>
      </c>
      <c r="B6408" s="6" t="s">
        <v>6367</v>
      </c>
    </row>
    <row r="6409" spans="1:2" x14ac:dyDescent="0.3">
      <c r="A6409" s="7" t="str">
        <f>HYPERLINK("http://www.eatonpowersource.com/products/configure/industrial%20valves/details/992442","992442")</f>
        <v>992442</v>
      </c>
      <c r="B6409" s="8" t="s">
        <v>6368</v>
      </c>
    </row>
    <row r="6410" spans="1:2" x14ac:dyDescent="0.3">
      <c r="A6410" s="5" t="str">
        <f>HYPERLINK("http://www.eatonpowersource.com/products/configure/industrial%20valves/details/992628","992628")</f>
        <v>992628</v>
      </c>
      <c r="B6410" s="6" t="s">
        <v>6369</v>
      </c>
    </row>
    <row r="6411" spans="1:2" x14ac:dyDescent="0.3">
      <c r="A6411" s="7" t="str">
        <f>HYPERLINK("http://www.eatonpowersource.com/products/configure/industrial%20valves/details/992640","992640")</f>
        <v>992640</v>
      </c>
      <c r="B6411" s="8" t="s">
        <v>6370</v>
      </c>
    </row>
    <row r="6412" spans="1:2" x14ac:dyDescent="0.3">
      <c r="A6412" s="5" t="str">
        <f>HYPERLINK("http://www.eatonpowersource.com/products/configure/industrial%20valves/details/992687","992687")</f>
        <v>992687</v>
      </c>
      <c r="B6412" s="6" t="s">
        <v>6371</v>
      </c>
    </row>
    <row r="6413" spans="1:2" x14ac:dyDescent="0.3">
      <c r="A6413" s="7" t="str">
        <f>HYPERLINK("http://www.eatonpowersource.com/products/configure/industrial%20valves/details/992693","992693")</f>
        <v>992693</v>
      </c>
      <c r="B6413" s="8" t="s">
        <v>6372</v>
      </c>
    </row>
    <row r="6414" spans="1:2" x14ac:dyDescent="0.3">
      <c r="A6414" s="5" t="str">
        <f>HYPERLINK("http://www.eatonpowersource.com/products/configure/industrial%20valves/details/992704","992704")</f>
        <v>992704</v>
      </c>
      <c r="B6414" s="6" t="s">
        <v>6373</v>
      </c>
    </row>
    <row r="6415" spans="1:2" x14ac:dyDescent="0.3">
      <c r="A6415" s="7" t="str">
        <f>HYPERLINK("http://www.eatonpowersource.com/products/configure/industrial%20valves/details/992731","992731")</f>
        <v>992731</v>
      </c>
      <c r="B6415" s="8" t="s">
        <v>6374</v>
      </c>
    </row>
    <row r="6416" spans="1:2" x14ac:dyDescent="0.3">
      <c r="A6416" s="5" t="str">
        <f>HYPERLINK("http://www.eatonpowersource.com/products/configure/industrial%20valves/details/992750","992750")</f>
        <v>992750</v>
      </c>
      <c r="B6416" s="6" t="s">
        <v>6375</v>
      </c>
    </row>
    <row r="6417" spans="1:2" x14ac:dyDescent="0.3">
      <c r="A6417" s="7" t="str">
        <f>HYPERLINK("http://www.eatonpowersource.com/products/configure/industrial%20valves/details/992790","992790")</f>
        <v>992790</v>
      </c>
      <c r="B6417" s="8" t="s">
        <v>6376</v>
      </c>
    </row>
    <row r="6418" spans="1:2" x14ac:dyDescent="0.3">
      <c r="A6418" s="5" t="str">
        <f>HYPERLINK("http://www.eatonpowersource.com/products/configure/industrial%20valves/details/02-146739","02-146739")</f>
        <v>02-146739</v>
      </c>
      <c r="B6418" s="6" t="s">
        <v>6377</v>
      </c>
    </row>
    <row r="6419" spans="1:2" x14ac:dyDescent="0.3">
      <c r="A6419" s="7" t="str">
        <f>HYPERLINK("http://www.eatonpowersource.com/products/configure/industrial%20valves/details/02-157120","02-157120")</f>
        <v>02-157120</v>
      </c>
      <c r="B6419" s="8" t="s">
        <v>6378</v>
      </c>
    </row>
    <row r="6420" spans="1:2" x14ac:dyDescent="0.3">
      <c r="A6420" s="5" t="str">
        <f>HYPERLINK("http://www.eatonpowersource.com/products/configure/industrial%20valves/details/02-310955","02-310955")</f>
        <v>02-310955</v>
      </c>
      <c r="B6420" s="6" t="s">
        <v>6379</v>
      </c>
    </row>
    <row r="6421" spans="1:2" x14ac:dyDescent="0.3">
      <c r="A6421" s="7" t="str">
        <f>HYPERLINK("http://www.eatonpowersource.com/products/configure/industrial%20valves/details/02-311732","02-311732")</f>
        <v>02-311732</v>
      </c>
      <c r="B6421" s="8" t="s">
        <v>6380</v>
      </c>
    </row>
    <row r="6422" spans="1:2" x14ac:dyDescent="0.3">
      <c r="A6422" s="5" t="str">
        <f>HYPERLINK("http://www.eatonpowersource.com/products/configure/industrial%20valves/details/02-323618","02-323618")</f>
        <v>02-323618</v>
      </c>
      <c r="B6422" s="6" t="s">
        <v>6381</v>
      </c>
    </row>
    <row r="6423" spans="1:2" x14ac:dyDescent="0.3">
      <c r="A6423" s="7" t="str">
        <f>HYPERLINK("http://www.eatonpowersource.com/products/configure/industrial%20valves/details/02-332201","02-332201")</f>
        <v>02-332201</v>
      </c>
      <c r="B6423" s="8" t="s">
        <v>6382</v>
      </c>
    </row>
    <row r="6424" spans="1:2" x14ac:dyDescent="0.3">
      <c r="A6424" s="5" t="str">
        <f>HYPERLINK("http://www.eatonpowersource.com/products/configure/industrial%20valves/details/02-332419","02-332419")</f>
        <v>02-332419</v>
      </c>
      <c r="B6424" s="6" t="s">
        <v>6383</v>
      </c>
    </row>
    <row r="6425" spans="1:2" x14ac:dyDescent="0.3">
      <c r="A6425" s="7" t="str">
        <f>HYPERLINK("http://www.eatonpowersource.com/products/configure/industrial%20valves/details/02-333531","02-333531")</f>
        <v>02-333531</v>
      </c>
      <c r="B6425" s="8" t="s">
        <v>6384</v>
      </c>
    </row>
    <row r="6426" spans="1:2" x14ac:dyDescent="0.3">
      <c r="A6426" s="5" t="str">
        <f>HYPERLINK("http://www.eatonpowersource.com/products/configure/industrial%20valves/details/02-333579","02-333579")</f>
        <v>02-333579</v>
      </c>
      <c r="B6426" s="6" t="s">
        <v>6385</v>
      </c>
    </row>
    <row r="6427" spans="1:2" x14ac:dyDescent="0.3">
      <c r="A6427" s="7" t="str">
        <f>HYPERLINK("http://www.eatonpowersource.com/products/configure/industrial%20valves/details/02-333580","02-333580")</f>
        <v>02-333580</v>
      </c>
      <c r="B6427" s="8" t="s">
        <v>6386</v>
      </c>
    </row>
    <row r="6428" spans="1:2" x14ac:dyDescent="0.3">
      <c r="A6428" s="5" t="str">
        <f>HYPERLINK("http://www.eatonpowersource.com/products/configure/industrial%20valves/details/02-333581","02-333581")</f>
        <v>02-333581</v>
      </c>
      <c r="B6428" s="6" t="s">
        <v>6387</v>
      </c>
    </row>
    <row r="6429" spans="1:2" x14ac:dyDescent="0.3">
      <c r="A6429" s="7" t="str">
        <f>HYPERLINK("http://www.eatonpowersource.com/products/configure/industrial%20valves/details/02-333582","02-333582")</f>
        <v>02-333582</v>
      </c>
      <c r="B6429" s="8" t="s">
        <v>6388</v>
      </c>
    </row>
    <row r="6430" spans="1:2" x14ac:dyDescent="0.3">
      <c r="A6430" s="5" t="str">
        <f>HYPERLINK("http://www.eatonpowersource.com/products/configure/industrial%20valves/details/02-333617","02-333617")</f>
        <v>02-333617</v>
      </c>
      <c r="B6430" s="6" t="s">
        <v>6389</v>
      </c>
    </row>
    <row r="6431" spans="1:2" x14ac:dyDescent="0.3">
      <c r="A6431" s="7" t="str">
        <f>HYPERLINK("http://www.eatonpowersource.com/products/configure/industrial%20valves/details/02-333682","02-333682")</f>
        <v>02-333682</v>
      </c>
      <c r="B6431" s="8" t="s">
        <v>6390</v>
      </c>
    </row>
    <row r="6432" spans="1:2" x14ac:dyDescent="0.3">
      <c r="A6432" s="5" t="str">
        <f>HYPERLINK("http://www.eatonpowersource.com/products/configure/industrial%20valves/details/02-350120","02-350120")</f>
        <v>02-350120</v>
      </c>
      <c r="B6432" s="6" t="s">
        <v>6391</v>
      </c>
    </row>
    <row r="6433" spans="1:2" x14ac:dyDescent="0.3">
      <c r="A6433" s="7" t="str">
        <f>HYPERLINK("http://www.eatonpowersource.com/products/configure/industrial%20valves/details/02-350479","02-350479")</f>
        <v>02-350479</v>
      </c>
      <c r="B6433" s="8" t="s">
        <v>6392</v>
      </c>
    </row>
    <row r="6434" spans="1:2" x14ac:dyDescent="0.3">
      <c r="A6434" s="5" t="str">
        <f>HYPERLINK("http://www.eatonpowersource.com/products/configure/industrial%20valves/details/02-350815","02-350815")</f>
        <v>02-350815</v>
      </c>
      <c r="B6434" s="6" t="s">
        <v>6393</v>
      </c>
    </row>
    <row r="6435" spans="1:2" x14ac:dyDescent="0.3">
      <c r="A6435" s="7" t="str">
        <f>HYPERLINK("http://www.eatonpowersource.com/products/configure/industrial%20valves/details/02-351108","02-351108")</f>
        <v>02-351108</v>
      </c>
      <c r="B6435" s="8" t="s">
        <v>6394</v>
      </c>
    </row>
    <row r="6436" spans="1:2" x14ac:dyDescent="0.3">
      <c r="A6436" s="5" t="str">
        <f>HYPERLINK("http://www.eatonpowersource.com/products/configure/industrial%20valves/details/02-351151","02-351151")</f>
        <v>02-351151</v>
      </c>
      <c r="B6436" s="6" t="s">
        <v>6395</v>
      </c>
    </row>
    <row r="6437" spans="1:2" x14ac:dyDescent="0.3">
      <c r="A6437" s="7" t="str">
        <f>HYPERLINK("http://www.eatonpowersource.com/products/configure/industrial%20valves/details/02-353390","02-353390")</f>
        <v>02-353390</v>
      </c>
      <c r="B6437" s="8" t="s">
        <v>6396</v>
      </c>
    </row>
    <row r="6438" spans="1:2" x14ac:dyDescent="0.3">
      <c r="A6438" s="5" t="str">
        <f>HYPERLINK("http://www.eatonpowersource.com/products/configure/industrial%20valves/details/02-358718","02-358718")</f>
        <v>02-358718</v>
      </c>
      <c r="B6438" s="6" t="s">
        <v>6397</v>
      </c>
    </row>
    <row r="6439" spans="1:2" x14ac:dyDescent="0.3">
      <c r="A6439" s="7" t="str">
        <f>HYPERLINK("http://www.eatonpowersource.com/products/configure/industrial%20valves/details/02-359159","02-359159")</f>
        <v>02-359159</v>
      </c>
      <c r="B6439" s="8" t="s">
        <v>6398</v>
      </c>
    </row>
    <row r="6440" spans="1:2" x14ac:dyDescent="0.3">
      <c r="A6440" s="5" t="str">
        <f>HYPERLINK("http://www.eatonpowersource.com/products/configure/industrial%20valves/details/02-359523","02-359523")</f>
        <v>02-359523</v>
      </c>
      <c r="B6440" s="6" t="s">
        <v>6399</v>
      </c>
    </row>
    <row r="6441" spans="1:2" x14ac:dyDescent="0.3">
      <c r="A6441" s="7" t="str">
        <f>HYPERLINK("http://www.eatonpowersource.com/products/configure/industrial%20valves/details/02-411272","02-411272")</f>
        <v>02-411272</v>
      </c>
      <c r="B6441" s="8" t="s">
        <v>6400</v>
      </c>
    </row>
    <row r="6442" spans="1:2" x14ac:dyDescent="0.3">
      <c r="A6442" s="5" t="str">
        <f>HYPERLINK("http://www.eatonpowersource.com/products/configure/industrial%20valves/details/02-411414","02-411414")</f>
        <v>02-411414</v>
      </c>
      <c r="B6442" s="6" t="s">
        <v>6401</v>
      </c>
    </row>
    <row r="6443" spans="1:2" x14ac:dyDescent="0.3">
      <c r="A6443" s="7" t="str">
        <f>HYPERLINK("http://www.eatonpowersource.com/products/configure/industrial%20valves/details/02-411421","02-411421")</f>
        <v>02-411421</v>
      </c>
      <c r="B6443" s="8" t="s">
        <v>6402</v>
      </c>
    </row>
    <row r="6444" spans="1:2" x14ac:dyDescent="0.3">
      <c r="A6444" s="5" t="str">
        <f>HYPERLINK("http://www.eatonpowersource.com/products/configure/industrial%20valves/details/02-412337","02-412337")</f>
        <v>02-412337</v>
      </c>
      <c r="B6444" s="6" t="s">
        <v>6403</v>
      </c>
    </row>
    <row r="6445" spans="1:2" x14ac:dyDescent="0.3">
      <c r="A6445" s="7" t="str">
        <f>HYPERLINK("http://www.eatonpowersource.com/products/configure/industrial%20valves/details/02-412865","02-412865")</f>
        <v>02-412865</v>
      </c>
      <c r="B6445" s="8" t="s">
        <v>6404</v>
      </c>
    </row>
    <row r="6446" spans="1:2" x14ac:dyDescent="0.3">
      <c r="A6446" s="5" t="str">
        <f>HYPERLINK("http://www.eatonpowersource.com/products/configure/industrial%20valves/details/02-414027","02-414027")</f>
        <v>02-414027</v>
      </c>
      <c r="B6446" s="6" t="s">
        <v>6405</v>
      </c>
    </row>
    <row r="6447" spans="1:2" x14ac:dyDescent="0.3">
      <c r="A6447" s="7" t="str">
        <f>HYPERLINK("http://www.eatonpowersource.com/products/configure/industrial%20valves/details/02-414956","02-414956")</f>
        <v>02-414956</v>
      </c>
      <c r="B6447" s="8" t="s">
        <v>6406</v>
      </c>
    </row>
    <row r="6448" spans="1:2" x14ac:dyDescent="0.3">
      <c r="A6448" s="5" t="str">
        <f>HYPERLINK("http://www.eatonpowersource.com/products/configure/industrial%20valves/details/459112","459112")</f>
        <v>459112</v>
      </c>
      <c r="B6448" s="6" t="s">
        <v>6407</v>
      </c>
    </row>
    <row r="6449" spans="1:2" x14ac:dyDescent="0.3">
      <c r="A6449" s="7" t="str">
        <f>HYPERLINK("http://www.eatonpowersource.com/products/configure/industrial%20valves/details/565485","565485")</f>
        <v>565485</v>
      </c>
      <c r="B6449" s="8" t="s">
        <v>6408</v>
      </c>
    </row>
    <row r="6450" spans="1:2" x14ac:dyDescent="0.3">
      <c r="A6450" s="5" t="str">
        <f>HYPERLINK("http://www.eatonpowersource.com/products/configure/industrial%20valves/details/616942","616942")</f>
        <v>616942</v>
      </c>
      <c r="B6450" s="6" t="s">
        <v>6409</v>
      </c>
    </row>
    <row r="6451" spans="1:2" x14ac:dyDescent="0.3">
      <c r="A6451" s="7" t="str">
        <f>HYPERLINK("http://www.eatonpowersource.com/products/configure/industrial%20valves/details/639391","639391")</f>
        <v>639391</v>
      </c>
      <c r="B6451" s="8" t="s">
        <v>6410</v>
      </c>
    </row>
    <row r="6452" spans="1:2" x14ac:dyDescent="0.3">
      <c r="A6452" s="5" t="str">
        <f>HYPERLINK("http://www.eatonpowersource.com/products/configure/industrial%20valves/details/639598","639598")</f>
        <v>639598</v>
      </c>
      <c r="B6452" s="6" t="s">
        <v>6411</v>
      </c>
    </row>
    <row r="6453" spans="1:2" x14ac:dyDescent="0.3">
      <c r="A6453" s="7" t="str">
        <f>HYPERLINK("http://www.eatonpowersource.com/products/configure/industrial%20valves/details/639749","639749")</f>
        <v>639749</v>
      </c>
      <c r="B6453" s="8" t="s">
        <v>6412</v>
      </c>
    </row>
    <row r="6454" spans="1:2" x14ac:dyDescent="0.3">
      <c r="A6454" s="5" t="str">
        <f>HYPERLINK("http://www.eatonpowersource.com/products/configure/industrial%20valves/details/639844","639844")</f>
        <v>639844</v>
      </c>
      <c r="B6454" s="6" t="s">
        <v>6413</v>
      </c>
    </row>
    <row r="6455" spans="1:2" x14ac:dyDescent="0.3">
      <c r="A6455" s="7" t="str">
        <f>HYPERLINK("http://www.eatonpowersource.com/products/configure/industrial%20valves/details/639860","639860")</f>
        <v>639860</v>
      </c>
      <c r="B6455" s="8" t="s">
        <v>6414</v>
      </c>
    </row>
    <row r="6456" spans="1:2" x14ac:dyDescent="0.3">
      <c r="A6456" s="5" t="str">
        <f>HYPERLINK("http://www.eatonpowersource.com/products/configure/industrial%20valves/details/639937","639937")</f>
        <v>639937</v>
      </c>
      <c r="B6456" s="6" t="s">
        <v>6415</v>
      </c>
    </row>
    <row r="6457" spans="1:2" x14ac:dyDescent="0.3">
      <c r="A6457" s="7" t="str">
        <f>HYPERLINK("http://www.eatonpowersource.com/products/configure/industrial%20valves/details/709623","709623")</f>
        <v>709623</v>
      </c>
      <c r="B6457" s="8" t="s">
        <v>6416</v>
      </c>
    </row>
    <row r="6458" spans="1:2" x14ac:dyDescent="0.3">
      <c r="A6458" s="5" t="str">
        <f>HYPERLINK("http://www.eatonpowersource.com/products/configure/industrial%20valves/details/720531","720531")</f>
        <v>720531</v>
      </c>
      <c r="B6458" s="6" t="s">
        <v>6417</v>
      </c>
    </row>
    <row r="6459" spans="1:2" x14ac:dyDescent="0.3">
      <c r="A6459" s="7" t="str">
        <f>HYPERLINK("http://www.eatonpowersource.com/products/configure/industrial%20valves/details/829an00010a","829AN00010A")</f>
        <v>829AN00010A</v>
      </c>
      <c r="B6459" s="8" t="s">
        <v>6418</v>
      </c>
    </row>
    <row r="6460" spans="1:2" x14ac:dyDescent="0.3">
      <c r="A6460" s="5" t="str">
        <f>HYPERLINK("http://www.eatonpowersource.com/products/configure/industrial%20valves/details/829an00026a","829AN00026A")</f>
        <v>829AN00026A</v>
      </c>
      <c r="B6460" s="6" t="s">
        <v>6419</v>
      </c>
    </row>
    <row r="6461" spans="1:2" x14ac:dyDescent="0.3">
      <c r="A6461" s="7" t="str">
        <f>HYPERLINK("http://www.eatonpowersource.com/products/configure/industrial%20valves/details/829an00028a","829AN00028A")</f>
        <v>829AN00028A</v>
      </c>
      <c r="B6461" s="8" t="s">
        <v>6420</v>
      </c>
    </row>
    <row r="6462" spans="1:2" x14ac:dyDescent="0.3">
      <c r="A6462" s="5" t="str">
        <f>HYPERLINK("http://www.eatonpowersource.com/products/configure/industrial%20valves/details/829an00041a","829AN00041A")</f>
        <v>829AN00041A</v>
      </c>
      <c r="B6462" s="6" t="s">
        <v>6421</v>
      </c>
    </row>
    <row r="6463" spans="1:2" x14ac:dyDescent="0.3">
      <c r="A6463" s="7" t="str">
        <f>HYPERLINK("http://www.eatonpowersource.com/products/configure/industrial%20valves/details/829an00047a","829AN00047A")</f>
        <v>829AN00047A</v>
      </c>
      <c r="B6463" s="8" t="s">
        <v>6422</v>
      </c>
    </row>
    <row r="6464" spans="1:2" x14ac:dyDescent="0.3">
      <c r="A6464" s="5" t="str">
        <f>HYPERLINK("http://www.eatonpowersource.com/products/configure/industrial%20valves/details/829an00048a","829AN00048A")</f>
        <v>829AN00048A</v>
      </c>
      <c r="B6464" s="6" t="s">
        <v>6423</v>
      </c>
    </row>
    <row r="6465" spans="1:2" x14ac:dyDescent="0.3">
      <c r="A6465" s="7" t="str">
        <f>HYPERLINK("http://www.eatonpowersource.com/products/configure/industrial%20valves/details/829an00052a","829AN00052A")</f>
        <v>829AN00052A</v>
      </c>
      <c r="B6465" s="8" t="s">
        <v>6424</v>
      </c>
    </row>
    <row r="6466" spans="1:2" x14ac:dyDescent="0.3">
      <c r="A6466" s="5" t="str">
        <f>HYPERLINK("http://www.eatonpowersource.com/products/configure/industrial%20valves/details/829an00055a","829AN00055A")</f>
        <v>829AN00055A</v>
      </c>
      <c r="B6466" s="6" t="s">
        <v>6425</v>
      </c>
    </row>
    <row r="6467" spans="1:2" x14ac:dyDescent="0.3">
      <c r="A6467" s="7" t="str">
        <f>HYPERLINK("http://www.eatonpowersource.com/products/configure/industrial%20valves/details/829an00063a","829AN00063A")</f>
        <v>829AN00063A</v>
      </c>
      <c r="B6467" s="8" t="s">
        <v>6426</v>
      </c>
    </row>
    <row r="6468" spans="1:2" x14ac:dyDescent="0.3">
      <c r="A6468" s="5" t="str">
        <f>HYPERLINK("http://www.eatonpowersource.com/products/configure/industrial%20valves/details/859108","859108")</f>
        <v>859108</v>
      </c>
      <c r="B6468" s="6" t="s">
        <v>6427</v>
      </c>
    </row>
    <row r="6469" spans="1:2" x14ac:dyDescent="0.3">
      <c r="A6469" s="7" t="str">
        <f>HYPERLINK("http://www.eatonpowersource.com/products/configure/industrial%20valves/details/870610","870610")</f>
        <v>870610</v>
      </c>
      <c r="B6469" s="8" t="s">
        <v>6428</v>
      </c>
    </row>
    <row r="6470" spans="1:2" x14ac:dyDescent="0.3">
      <c r="A6470" s="5" t="str">
        <f>HYPERLINK("http://www.eatonpowersource.com/products/configure/industrial%20valves/details/871403","871403")</f>
        <v>871403</v>
      </c>
      <c r="B6470" s="6" t="s">
        <v>6429</v>
      </c>
    </row>
    <row r="6471" spans="1:2" x14ac:dyDescent="0.3">
      <c r="A6471" s="7" t="str">
        <f>HYPERLINK("http://www.eatonpowersource.com/products/configure/industrial%20valves/details/872194","872194")</f>
        <v>872194</v>
      </c>
      <c r="B6471" s="8" t="s">
        <v>6430</v>
      </c>
    </row>
    <row r="6472" spans="1:2" x14ac:dyDescent="0.3">
      <c r="A6472" s="5" t="str">
        <f>HYPERLINK("http://www.eatonpowersource.com/products/configure/industrial%20valves/details/990966","990966")</f>
        <v>990966</v>
      </c>
      <c r="B6472" s="6" t="s">
        <v>6431</v>
      </c>
    </row>
    <row r="6473" spans="1:2" x14ac:dyDescent="0.3">
      <c r="A6473" s="7" t="str">
        <f>HYPERLINK("http://www.eatonpowersource.com/products/configure/industrial%20valves/details/991371","991371")</f>
        <v>991371</v>
      </c>
      <c r="B6473" s="8" t="s">
        <v>6432</v>
      </c>
    </row>
    <row r="6474" spans="1:2" x14ac:dyDescent="0.3">
      <c r="A6474" s="5" t="str">
        <f>HYPERLINK("http://www.eatonpowersource.com/products/configure/industrial%20valves/details/991499","991499")</f>
        <v>991499</v>
      </c>
      <c r="B6474" s="6" t="s">
        <v>6433</v>
      </c>
    </row>
    <row r="6475" spans="1:2" x14ac:dyDescent="0.3">
      <c r="A6475" s="7" t="str">
        <f>HYPERLINK("http://www.eatonpowersource.com/products/configure/industrial%20valves/details/991991","991991")</f>
        <v>991991</v>
      </c>
      <c r="B6475" s="8" t="s">
        <v>6434</v>
      </c>
    </row>
    <row r="6476" spans="1:2" x14ac:dyDescent="0.3">
      <c r="A6476" s="5" t="str">
        <f>HYPERLINK("http://www.eatonpowersource.com/products/configure/industrial%20valves/details/992069","992069")</f>
        <v>992069</v>
      </c>
      <c r="B6476" s="6" t="s">
        <v>6435</v>
      </c>
    </row>
    <row r="6477" spans="1:2" x14ac:dyDescent="0.3">
      <c r="A6477" s="7" t="str">
        <f>HYPERLINK("http://www.eatonpowersource.com/products/configure/industrial%20valves/details/992407","992407")</f>
        <v>992407</v>
      </c>
      <c r="B6477" s="8" t="s">
        <v>6436</v>
      </c>
    </row>
    <row r="6478" spans="1:2" x14ac:dyDescent="0.3">
      <c r="A6478" s="5" t="str">
        <f>HYPERLINK("http://www.eatonpowersource.com/products/configure/industrial%20valves/details/3011449","3011449")</f>
        <v>3011449</v>
      </c>
      <c r="B6478" s="6" t="s">
        <v>6437</v>
      </c>
    </row>
    <row r="6479" spans="1:2" x14ac:dyDescent="0.3">
      <c r="A6479" s="7" t="str">
        <f>HYPERLINK("http://www.eatonpowersource.com/products/configure/industrial%20valves/details/02-110632","02-110632")</f>
        <v>02-110632</v>
      </c>
      <c r="B6479" s="8" t="s">
        <v>6438</v>
      </c>
    </row>
    <row r="6480" spans="1:2" x14ac:dyDescent="0.3">
      <c r="A6480" s="5" t="str">
        <f>HYPERLINK("http://www.eatonpowersource.com/products/configure/industrial%20valves/details/02-110633","02-110633")</f>
        <v>02-110633</v>
      </c>
      <c r="B6480" s="6" t="s">
        <v>6439</v>
      </c>
    </row>
    <row r="6481" spans="1:2" x14ac:dyDescent="0.3">
      <c r="A6481" s="7" t="str">
        <f>HYPERLINK("http://www.eatonpowersource.com/products/configure/industrial%20valves/details/02-147613","02-147613")</f>
        <v>02-147613</v>
      </c>
      <c r="B6481" s="8" t="s">
        <v>6440</v>
      </c>
    </row>
    <row r="6482" spans="1:2" x14ac:dyDescent="0.3">
      <c r="A6482" s="5" t="str">
        <f>HYPERLINK("http://www.eatonpowersource.com/products/configure/industrial%20valves/details/02-156209","02-156209")</f>
        <v>02-156209</v>
      </c>
      <c r="B6482" s="6" t="s">
        <v>6441</v>
      </c>
    </row>
    <row r="6483" spans="1:2" x14ac:dyDescent="0.3">
      <c r="A6483" s="7" t="str">
        <f>HYPERLINK("http://www.eatonpowersource.com/products/configure/industrial%20valves/details/02-156295","02-156295")</f>
        <v>02-156295</v>
      </c>
      <c r="B6483" s="8" t="s">
        <v>6442</v>
      </c>
    </row>
    <row r="6484" spans="1:2" x14ac:dyDescent="0.3">
      <c r="A6484" s="5" t="str">
        <f>HYPERLINK("http://www.eatonpowersource.com/products/configure/industrial%20valves/details/02-156371","02-156371")</f>
        <v>02-156371</v>
      </c>
      <c r="B6484" s="6" t="s">
        <v>6443</v>
      </c>
    </row>
    <row r="6485" spans="1:2" x14ac:dyDescent="0.3">
      <c r="A6485" s="7" t="str">
        <f>HYPERLINK("http://www.eatonpowersource.com/products/configure/industrial%20valves/details/02-156373","02-156373")</f>
        <v>02-156373</v>
      </c>
      <c r="B6485" s="8" t="s">
        <v>6444</v>
      </c>
    </row>
    <row r="6486" spans="1:2" x14ac:dyDescent="0.3">
      <c r="A6486" s="5" t="str">
        <f>HYPERLINK("http://www.eatonpowersource.com/products/configure/industrial%20valves/details/02-156374","02-156374")</f>
        <v>02-156374</v>
      </c>
      <c r="B6486" s="6" t="s">
        <v>6445</v>
      </c>
    </row>
    <row r="6487" spans="1:2" x14ac:dyDescent="0.3">
      <c r="A6487" s="7" t="str">
        <f>HYPERLINK("http://www.eatonpowersource.com/products/configure/industrial%20valves/details/02-156375","02-156375")</f>
        <v>02-156375</v>
      </c>
      <c r="B6487" s="8" t="s">
        <v>6446</v>
      </c>
    </row>
    <row r="6488" spans="1:2" x14ac:dyDescent="0.3">
      <c r="A6488" s="5" t="str">
        <f>HYPERLINK("http://www.eatonpowersource.com/products/configure/industrial%20valves/details/02-156403","02-156403")</f>
        <v>02-156403</v>
      </c>
      <c r="B6488" s="6" t="s">
        <v>6447</v>
      </c>
    </row>
    <row r="6489" spans="1:2" x14ac:dyDescent="0.3">
      <c r="A6489" s="7" t="str">
        <f>HYPERLINK("http://www.eatonpowersource.com/products/configure/industrial%20valves/details/02-156404","02-156404")</f>
        <v>02-156404</v>
      </c>
      <c r="B6489" s="8" t="s">
        <v>6448</v>
      </c>
    </row>
    <row r="6490" spans="1:2" x14ac:dyDescent="0.3">
      <c r="A6490" s="5" t="str">
        <f>HYPERLINK("http://www.eatonpowersource.com/products/configure/industrial%20valves/details/02-156405","02-156405")</f>
        <v>02-156405</v>
      </c>
      <c r="B6490" s="6" t="s">
        <v>6449</v>
      </c>
    </row>
    <row r="6491" spans="1:2" x14ac:dyDescent="0.3">
      <c r="A6491" s="7" t="str">
        <f>HYPERLINK("http://www.eatonpowersource.com/products/configure/industrial%20valves/details/02-156406","02-156406")</f>
        <v>02-156406</v>
      </c>
      <c r="B6491" s="8" t="s">
        <v>6450</v>
      </c>
    </row>
    <row r="6492" spans="1:2" x14ac:dyDescent="0.3">
      <c r="A6492" s="5" t="str">
        <f>HYPERLINK("http://www.eatonpowersource.com/products/configure/industrial%20valves/details/02-156407","02-156407")</f>
        <v>02-156407</v>
      </c>
      <c r="B6492" s="6" t="s">
        <v>6451</v>
      </c>
    </row>
    <row r="6493" spans="1:2" x14ac:dyDescent="0.3">
      <c r="A6493" s="7" t="str">
        <f>HYPERLINK("http://www.eatonpowersource.com/products/configure/industrial%20valves/details/02-156429","02-156429")</f>
        <v>02-156429</v>
      </c>
      <c r="B6493" s="8" t="s">
        <v>6452</v>
      </c>
    </row>
    <row r="6494" spans="1:2" x14ac:dyDescent="0.3">
      <c r="A6494" s="5" t="str">
        <f>HYPERLINK("http://www.eatonpowersource.com/products/configure/industrial%20valves/details/02-156430","02-156430")</f>
        <v>02-156430</v>
      </c>
      <c r="B6494" s="6" t="s">
        <v>6453</v>
      </c>
    </row>
    <row r="6495" spans="1:2" x14ac:dyDescent="0.3">
      <c r="A6495" s="7" t="str">
        <f>HYPERLINK("http://www.eatonpowersource.com/products/configure/industrial%20valves/details/02-156730","02-156730")</f>
        <v>02-156730</v>
      </c>
      <c r="B6495" s="8" t="s">
        <v>6454</v>
      </c>
    </row>
    <row r="6496" spans="1:2" x14ac:dyDescent="0.3">
      <c r="A6496" s="5" t="str">
        <f>HYPERLINK("http://www.eatonpowersource.com/products/configure/industrial%20valves/details/02-156768","02-156768")</f>
        <v>02-156768</v>
      </c>
      <c r="B6496" s="6" t="s">
        <v>6455</v>
      </c>
    </row>
    <row r="6497" spans="1:2" x14ac:dyDescent="0.3">
      <c r="A6497" s="7" t="str">
        <f>HYPERLINK("http://www.eatonpowersource.com/products/configure/industrial%20valves/details/02-156770","02-156770")</f>
        <v>02-156770</v>
      </c>
      <c r="B6497" s="8" t="s">
        <v>6456</v>
      </c>
    </row>
    <row r="6498" spans="1:2" x14ac:dyDescent="0.3">
      <c r="A6498" s="5" t="str">
        <f>HYPERLINK("http://www.eatonpowersource.com/products/configure/industrial%20valves/details/02-157212","02-157212")</f>
        <v>02-157212</v>
      </c>
      <c r="B6498" s="6" t="s">
        <v>6457</v>
      </c>
    </row>
    <row r="6499" spans="1:2" x14ac:dyDescent="0.3">
      <c r="A6499" s="7" t="str">
        <f>HYPERLINK("http://www.eatonpowersource.com/products/configure/industrial%20valves/details/02-157233","02-157233")</f>
        <v>02-157233</v>
      </c>
      <c r="B6499" s="8" t="s">
        <v>6458</v>
      </c>
    </row>
    <row r="6500" spans="1:2" x14ac:dyDescent="0.3">
      <c r="A6500" s="5" t="str">
        <f>HYPERLINK("http://www.eatonpowersource.com/products/configure/industrial%20valves/details/02-157234","02-157234")</f>
        <v>02-157234</v>
      </c>
      <c r="B6500" s="6" t="s">
        <v>6459</v>
      </c>
    </row>
    <row r="6501" spans="1:2" x14ac:dyDescent="0.3">
      <c r="A6501" s="7" t="str">
        <f>HYPERLINK("http://www.eatonpowersource.com/products/configure/industrial%20valves/details/02-157670","02-157670")</f>
        <v>02-157670</v>
      </c>
      <c r="B6501" s="8" t="s">
        <v>6460</v>
      </c>
    </row>
    <row r="6502" spans="1:2" x14ac:dyDescent="0.3">
      <c r="A6502" s="5" t="str">
        <f>HYPERLINK("http://www.eatonpowersource.com/products/configure/industrial%20valves/details/02-157773","02-157773")</f>
        <v>02-157773</v>
      </c>
      <c r="B6502" s="6" t="s">
        <v>6461</v>
      </c>
    </row>
    <row r="6503" spans="1:2" x14ac:dyDescent="0.3">
      <c r="A6503" s="7" t="str">
        <f>HYPERLINK("http://www.eatonpowersource.com/products/configure/industrial%20valves/details/02-310643","02-310643")</f>
        <v>02-310643</v>
      </c>
      <c r="B6503" s="8" t="s">
        <v>6462</v>
      </c>
    </row>
    <row r="6504" spans="1:2" x14ac:dyDescent="0.3">
      <c r="A6504" s="5" t="str">
        <f>HYPERLINK("http://www.eatonpowersource.com/products/configure/industrial%20valves/details/02-310846","02-310846")</f>
        <v>02-310846</v>
      </c>
      <c r="B6504" s="6" t="s">
        <v>6463</v>
      </c>
    </row>
    <row r="6505" spans="1:2" x14ac:dyDescent="0.3">
      <c r="A6505" s="7" t="str">
        <f>HYPERLINK("http://www.eatonpowersource.com/products/configure/industrial%20valves/details/02-311062","02-311062")</f>
        <v>02-311062</v>
      </c>
      <c r="B6505" s="8" t="s">
        <v>6464</v>
      </c>
    </row>
    <row r="6506" spans="1:2" x14ac:dyDescent="0.3">
      <c r="A6506" s="5" t="str">
        <f>HYPERLINK("http://www.eatonpowersource.com/products/configure/industrial%20valves/details/02-311063","02-311063")</f>
        <v>02-311063</v>
      </c>
      <c r="B6506" s="6" t="s">
        <v>6465</v>
      </c>
    </row>
    <row r="6507" spans="1:2" x14ac:dyDescent="0.3">
      <c r="A6507" s="7" t="str">
        <f>HYPERLINK("http://www.eatonpowersource.com/products/configure/industrial%20valves/details/02-311494","02-311494")</f>
        <v>02-311494</v>
      </c>
      <c r="B6507" s="8" t="s">
        <v>6466</v>
      </c>
    </row>
    <row r="6508" spans="1:2" x14ac:dyDescent="0.3">
      <c r="A6508" s="5" t="str">
        <f>HYPERLINK("http://www.eatonpowersource.com/products/configure/industrial%20valves/details/02-311499","02-311499")</f>
        <v>02-311499</v>
      </c>
      <c r="B6508" s="6" t="s">
        <v>6467</v>
      </c>
    </row>
    <row r="6509" spans="1:2" x14ac:dyDescent="0.3">
      <c r="A6509" s="7" t="str">
        <f>HYPERLINK("http://www.eatonpowersource.com/products/configure/industrial%20valves/details/02-311511","02-311511")</f>
        <v>02-311511</v>
      </c>
      <c r="B6509" s="8" t="s">
        <v>6468</v>
      </c>
    </row>
    <row r="6510" spans="1:2" x14ac:dyDescent="0.3">
      <c r="A6510" s="5" t="str">
        <f>HYPERLINK("http://www.eatonpowersource.com/products/configure/industrial%20valves/details/02-311512","02-311512")</f>
        <v>02-311512</v>
      </c>
      <c r="B6510" s="6" t="s">
        <v>6469</v>
      </c>
    </row>
    <row r="6511" spans="1:2" x14ac:dyDescent="0.3">
      <c r="A6511" s="7" t="str">
        <f>HYPERLINK("http://www.eatonpowersource.com/products/configure/industrial%20valves/details/02-311514","02-311514")</f>
        <v>02-311514</v>
      </c>
      <c r="B6511" s="8" t="s">
        <v>6470</v>
      </c>
    </row>
    <row r="6512" spans="1:2" x14ac:dyDescent="0.3">
      <c r="A6512" s="5" t="str">
        <f>HYPERLINK("http://www.eatonpowersource.com/products/configure/industrial%20valves/details/02-311914","02-311914")</f>
        <v>02-311914</v>
      </c>
      <c r="B6512" s="6" t="s">
        <v>6471</v>
      </c>
    </row>
    <row r="6513" spans="1:2" x14ac:dyDescent="0.3">
      <c r="A6513" s="7" t="str">
        <f>HYPERLINK("http://www.eatonpowersource.com/products/configure/industrial%20valves/details/02-311957","02-311957")</f>
        <v>02-311957</v>
      </c>
      <c r="B6513" s="8" t="s">
        <v>6472</v>
      </c>
    </row>
    <row r="6514" spans="1:2" x14ac:dyDescent="0.3">
      <c r="A6514" s="5" t="str">
        <f>HYPERLINK("http://www.eatonpowersource.com/products/configure/industrial%20valves/details/02-323629","02-323629")</f>
        <v>02-323629</v>
      </c>
      <c r="B6514" s="6" t="s">
        <v>6473</v>
      </c>
    </row>
    <row r="6515" spans="1:2" x14ac:dyDescent="0.3">
      <c r="A6515" s="7" t="str">
        <f>HYPERLINK("http://www.eatonpowersource.com/products/configure/industrial%20valves/details/02-323675","02-323675")</f>
        <v>02-323675</v>
      </c>
      <c r="B6515" s="8" t="s">
        <v>6474</v>
      </c>
    </row>
    <row r="6516" spans="1:2" x14ac:dyDescent="0.3">
      <c r="A6516" s="5" t="str">
        <f>HYPERLINK("http://www.eatonpowersource.com/products/configure/industrial%20valves/details/02-333319","02-333319")</f>
        <v>02-333319</v>
      </c>
      <c r="B6516" s="6" t="s">
        <v>6475</v>
      </c>
    </row>
    <row r="6517" spans="1:2" x14ac:dyDescent="0.3">
      <c r="A6517" s="7" t="str">
        <f>HYPERLINK("http://www.eatonpowersource.com/products/configure/industrial%20valves/details/02-333320","02-333320")</f>
        <v>02-333320</v>
      </c>
      <c r="B6517" s="8" t="s">
        <v>6476</v>
      </c>
    </row>
    <row r="6518" spans="1:2" x14ac:dyDescent="0.3">
      <c r="A6518" s="5" t="str">
        <f>HYPERLINK("http://www.eatonpowersource.com/products/configure/industrial%20valves/details/02-333321","02-333321")</f>
        <v>02-333321</v>
      </c>
      <c r="B6518" s="6" t="s">
        <v>6477</v>
      </c>
    </row>
    <row r="6519" spans="1:2" x14ac:dyDescent="0.3">
      <c r="A6519" s="7" t="str">
        <f>HYPERLINK("http://www.eatonpowersource.com/products/configure/industrial%20valves/details/02-358045","02-358045")</f>
        <v>02-358045</v>
      </c>
      <c r="B6519" s="8" t="s">
        <v>6478</v>
      </c>
    </row>
    <row r="6520" spans="1:2" x14ac:dyDescent="0.3">
      <c r="A6520" s="5" t="str">
        <f>HYPERLINK("http://www.eatonpowersource.com/products/configure/industrial%20valves/details/02-358046","02-358046")</f>
        <v>02-358046</v>
      </c>
      <c r="B6520" s="6" t="s">
        <v>6479</v>
      </c>
    </row>
    <row r="6521" spans="1:2" x14ac:dyDescent="0.3">
      <c r="A6521" s="7" t="str">
        <f>HYPERLINK("http://www.eatonpowersource.com/products/configure/industrial%20valves/details/02-358298","02-358298")</f>
        <v>02-358298</v>
      </c>
      <c r="B6521" s="8" t="s">
        <v>6480</v>
      </c>
    </row>
    <row r="6522" spans="1:2" x14ac:dyDescent="0.3">
      <c r="A6522" s="5" t="str">
        <f>HYPERLINK("http://www.eatonpowersource.com/products/configure/industrial%20valves/details/02-359698","02-359698")</f>
        <v>02-359698</v>
      </c>
      <c r="B6522" s="6" t="s">
        <v>6481</v>
      </c>
    </row>
    <row r="6523" spans="1:2" x14ac:dyDescent="0.3">
      <c r="A6523" s="7" t="str">
        <f>HYPERLINK("http://www.eatonpowersource.com/products/configure/industrial%20valves/details/02-414529","02-414529")</f>
        <v>02-414529</v>
      </c>
      <c r="B6523" s="8" t="s">
        <v>6482</v>
      </c>
    </row>
    <row r="6524" spans="1:2" x14ac:dyDescent="0.3">
      <c r="A6524" s="5" t="str">
        <f>HYPERLINK("http://www.eatonpowersource.com/products/configure/industrial%20valves/details/02-414530","02-414530")</f>
        <v>02-414530</v>
      </c>
      <c r="B6524" s="6" t="s">
        <v>6483</v>
      </c>
    </row>
    <row r="6525" spans="1:2" x14ac:dyDescent="0.3">
      <c r="A6525" s="7" t="str">
        <f>HYPERLINK("http://www.eatonpowersource.com/products/configure/industrial%20valves/details/02-414531","02-414531")</f>
        <v>02-414531</v>
      </c>
      <c r="B6525" s="8" t="s">
        <v>6484</v>
      </c>
    </row>
    <row r="6526" spans="1:2" x14ac:dyDescent="0.3">
      <c r="A6526" s="5" t="str">
        <f>HYPERLINK("http://www.eatonpowersource.com/products/configure/industrial%20valves/details/02-414532","02-414532")</f>
        <v>02-414532</v>
      </c>
      <c r="B6526" s="6" t="s">
        <v>6485</v>
      </c>
    </row>
    <row r="6527" spans="1:2" x14ac:dyDescent="0.3">
      <c r="A6527" s="7" t="str">
        <f>HYPERLINK("http://www.eatonpowersource.com/products/configure/industrial%20valves/details/02-414533","02-414533")</f>
        <v>02-414533</v>
      </c>
      <c r="B6527" s="8" t="s">
        <v>6486</v>
      </c>
    </row>
    <row r="6528" spans="1:2" x14ac:dyDescent="0.3">
      <c r="A6528" s="5" t="str">
        <f>HYPERLINK("http://www.eatonpowersource.com/products/configure/industrial%20valves/details/02-414613","02-414613")</f>
        <v>02-414613</v>
      </c>
      <c r="B6528" s="6" t="s">
        <v>6487</v>
      </c>
    </row>
    <row r="6529" spans="1:2" x14ac:dyDescent="0.3">
      <c r="A6529" s="7" t="str">
        <f>HYPERLINK("http://www.eatonpowersource.com/products/configure/industrial%20valves/details/02-414614","02-414614")</f>
        <v>02-414614</v>
      </c>
      <c r="B6529" s="8" t="s">
        <v>6488</v>
      </c>
    </row>
    <row r="6530" spans="1:2" x14ac:dyDescent="0.3">
      <c r="A6530" s="5" t="str">
        <f>HYPERLINK("http://www.eatonpowersource.com/products/configure/industrial%20valves/details/02-414615","02-414615")</f>
        <v>02-414615</v>
      </c>
      <c r="B6530" s="6" t="s">
        <v>6489</v>
      </c>
    </row>
    <row r="6531" spans="1:2" x14ac:dyDescent="0.3">
      <c r="A6531" s="7" t="str">
        <f>HYPERLINK("http://www.eatonpowersource.com/products/configure/industrial%20valves/details/02-414616","02-414616")</f>
        <v>02-414616</v>
      </c>
      <c r="B6531" s="8" t="s">
        <v>6490</v>
      </c>
    </row>
    <row r="6532" spans="1:2" x14ac:dyDescent="0.3">
      <c r="A6532" s="5" t="str">
        <f>HYPERLINK("http://www.eatonpowersource.com/products/configure/industrial%20valves/details/02-414889","02-414889")</f>
        <v>02-414889</v>
      </c>
      <c r="B6532" s="6" t="s">
        <v>6491</v>
      </c>
    </row>
    <row r="6533" spans="1:2" x14ac:dyDescent="0.3">
      <c r="A6533" s="7" t="str">
        <f>HYPERLINK("http://www.eatonpowersource.com/products/configure/industrial%20valves/details/02-420399","02-420399")</f>
        <v>02-420399</v>
      </c>
      <c r="B6533" s="8" t="s">
        <v>6492</v>
      </c>
    </row>
    <row r="6534" spans="1:2" x14ac:dyDescent="0.3">
      <c r="A6534" s="5" t="str">
        <f>HYPERLINK("http://www.eatonpowersource.com/products/configure/industrial%20valves/details/02-420588","02-420588")</f>
        <v>02-420588</v>
      </c>
      <c r="B6534" s="6" t="s">
        <v>6493</v>
      </c>
    </row>
    <row r="6535" spans="1:2" x14ac:dyDescent="0.3">
      <c r="A6535" s="7" t="str">
        <f>HYPERLINK("http://www.eatonpowersource.com/products/configure/industrial%20valves/details/478885","478885")</f>
        <v>478885</v>
      </c>
      <c r="B6535" s="8" t="s">
        <v>6494</v>
      </c>
    </row>
    <row r="6536" spans="1:2" x14ac:dyDescent="0.3">
      <c r="A6536" s="5" t="str">
        <f>HYPERLINK("http://www.eatonpowersource.com/products/configure/industrial%20valves/details/478996","478996")</f>
        <v>478996</v>
      </c>
      <c r="B6536" s="6" t="s">
        <v>6495</v>
      </c>
    </row>
    <row r="6537" spans="1:2" x14ac:dyDescent="0.3">
      <c r="A6537" s="7" t="str">
        <f>HYPERLINK("http://www.eatonpowersource.com/products/configure/industrial%20valves/details/515860","515860")</f>
        <v>515860</v>
      </c>
      <c r="B6537" s="8" t="s">
        <v>6496</v>
      </c>
    </row>
    <row r="6538" spans="1:2" x14ac:dyDescent="0.3">
      <c r="A6538" s="5" t="str">
        <f>HYPERLINK("http://www.eatonpowersource.com/products/configure/industrial%20valves/details/515866","515866")</f>
        <v>515866</v>
      </c>
      <c r="B6538" s="6" t="s">
        <v>6497</v>
      </c>
    </row>
    <row r="6539" spans="1:2" x14ac:dyDescent="0.3">
      <c r="A6539" s="7" t="str">
        <f>HYPERLINK("http://www.eatonpowersource.com/products/configure/industrial%20valves/details/515870","515870")</f>
        <v>515870</v>
      </c>
      <c r="B6539" s="8" t="s">
        <v>6498</v>
      </c>
    </row>
    <row r="6540" spans="1:2" x14ac:dyDescent="0.3">
      <c r="A6540" s="5" t="str">
        <f>HYPERLINK("http://www.eatonpowersource.com/products/configure/industrial%20valves/details/6036345-001","6036345-001")</f>
        <v>6036345-001</v>
      </c>
      <c r="B6540" s="6" t="s">
        <v>6499</v>
      </c>
    </row>
    <row r="6541" spans="1:2" x14ac:dyDescent="0.3">
      <c r="A6541" s="7" t="str">
        <f>HYPERLINK("http://www.eatonpowersource.com/products/configure/industrial%20valves/details/6042400-001","6042400-001")</f>
        <v>6042400-001</v>
      </c>
      <c r="B6541" s="8" t="s">
        <v>6500</v>
      </c>
    </row>
    <row r="6542" spans="1:2" x14ac:dyDescent="0.3">
      <c r="A6542" s="5" t="str">
        <f>HYPERLINK("http://www.eatonpowersource.com/products/configure/industrial%20valves/details/6044228-001","6044228-001")</f>
        <v>6044228-001</v>
      </c>
      <c r="B6542" s="6" t="s">
        <v>6501</v>
      </c>
    </row>
    <row r="6543" spans="1:2" x14ac:dyDescent="0.3">
      <c r="A6543" s="7" t="str">
        <f>HYPERLINK("http://www.eatonpowersource.com/products/configure/industrial%20valves/details/762607","762607")</f>
        <v>762607</v>
      </c>
      <c r="B6543" s="8" t="s">
        <v>6502</v>
      </c>
    </row>
    <row r="6544" spans="1:2" x14ac:dyDescent="0.3">
      <c r="A6544" s="5" t="str">
        <f>HYPERLINK("http://www.eatonpowersource.com/products/configure/industrial%20valves/details/813306","813306")</f>
        <v>813306</v>
      </c>
      <c r="B6544" s="6" t="s">
        <v>6503</v>
      </c>
    </row>
    <row r="6545" spans="1:2" x14ac:dyDescent="0.3">
      <c r="A6545" s="7" t="str">
        <f>HYPERLINK("http://www.eatonpowersource.com/products/configure/industrial%20valves/details/846an00001a","846AN00001A")</f>
        <v>846AN00001A</v>
      </c>
      <c r="B6545" s="8" t="s">
        <v>6504</v>
      </c>
    </row>
    <row r="6546" spans="1:2" x14ac:dyDescent="0.3">
      <c r="A6546" s="5" t="str">
        <f>HYPERLINK("http://www.eatonpowersource.com/products/configure/industrial%20valves/details/846an00002a","846AN00002A")</f>
        <v>846AN00002A</v>
      </c>
      <c r="B6546" s="6" t="s">
        <v>6505</v>
      </c>
    </row>
    <row r="6547" spans="1:2" x14ac:dyDescent="0.3">
      <c r="A6547" s="7" t="str">
        <f>HYPERLINK("http://www.eatonpowersource.com/products/configure/industrial%20valves/details/846an00003a","846AN00003A")</f>
        <v>846AN00003A</v>
      </c>
      <c r="B6547" s="8" t="s">
        <v>6506</v>
      </c>
    </row>
    <row r="6548" spans="1:2" x14ac:dyDescent="0.3">
      <c r="A6548" s="5" t="str">
        <f>HYPERLINK("http://www.eatonpowersource.com/products/configure/industrial%20valves/details/846an00005a","846AN00005A")</f>
        <v>846AN00005A</v>
      </c>
      <c r="B6548" s="6" t="s">
        <v>6507</v>
      </c>
    </row>
    <row r="6549" spans="1:2" x14ac:dyDescent="0.3">
      <c r="A6549" s="7" t="str">
        <f>HYPERLINK("http://www.eatonpowersource.com/products/configure/industrial%20valves/details/846an00006a","846AN00006A")</f>
        <v>846AN00006A</v>
      </c>
      <c r="B6549" s="8" t="s">
        <v>6508</v>
      </c>
    </row>
    <row r="6550" spans="1:2" x14ac:dyDescent="0.3">
      <c r="A6550" s="5" t="str">
        <f>HYPERLINK("http://www.eatonpowersource.com/products/configure/industrial%20valves/details/846an00007a","846AN00007A")</f>
        <v>846AN00007A</v>
      </c>
      <c r="B6550" s="6" t="s">
        <v>6509</v>
      </c>
    </row>
    <row r="6551" spans="1:2" x14ac:dyDescent="0.3">
      <c r="A6551" s="7" t="str">
        <f>HYPERLINK("http://www.eatonpowersource.com/products/configure/industrial%20valves/details/846an00008a","846AN00008A")</f>
        <v>846AN00008A</v>
      </c>
      <c r="B6551" s="8" t="s">
        <v>6510</v>
      </c>
    </row>
    <row r="6552" spans="1:2" x14ac:dyDescent="0.3">
      <c r="A6552" s="5" t="str">
        <f>HYPERLINK("http://www.eatonpowersource.com/products/configure/industrial%20valves/details/846an00009a","846AN00009A")</f>
        <v>846AN00009A</v>
      </c>
      <c r="B6552" s="6" t="s">
        <v>6511</v>
      </c>
    </row>
    <row r="6553" spans="1:2" x14ac:dyDescent="0.3">
      <c r="A6553" s="7" t="str">
        <f>HYPERLINK("http://www.eatonpowersource.com/products/configure/industrial%20valves/details/846an00010a","846AN00010A")</f>
        <v>846AN00010A</v>
      </c>
      <c r="B6553" s="8" t="s">
        <v>6512</v>
      </c>
    </row>
    <row r="6554" spans="1:2" x14ac:dyDescent="0.3">
      <c r="A6554" s="5" t="str">
        <f>HYPERLINK("http://www.eatonpowersource.com/products/configure/industrial%20valves/details/846an00011a","846AN00011A")</f>
        <v>846AN00011A</v>
      </c>
      <c r="B6554" s="6" t="s">
        <v>6513</v>
      </c>
    </row>
    <row r="6555" spans="1:2" x14ac:dyDescent="0.3">
      <c r="A6555" s="7" t="str">
        <f>HYPERLINK("http://www.eatonpowersource.com/products/configure/industrial%20valves/details/846an00012a","846AN00012A")</f>
        <v>846AN00012A</v>
      </c>
      <c r="B6555" s="8" t="s">
        <v>6514</v>
      </c>
    </row>
    <row r="6556" spans="1:2" x14ac:dyDescent="0.3">
      <c r="A6556" s="5" t="str">
        <f>HYPERLINK("http://www.eatonpowersource.com/products/configure/industrial%20valves/details/846an00013a","846AN00013A")</f>
        <v>846AN00013A</v>
      </c>
      <c r="B6556" s="6" t="s">
        <v>6515</v>
      </c>
    </row>
    <row r="6557" spans="1:2" x14ac:dyDescent="0.3">
      <c r="A6557" s="7" t="str">
        <f>HYPERLINK("http://www.eatonpowersource.com/products/configure/industrial%20valves/details/846an00014a","846AN00014A")</f>
        <v>846AN00014A</v>
      </c>
      <c r="B6557" s="8" t="s">
        <v>6516</v>
      </c>
    </row>
    <row r="6558" spans="1:2" x14ac:dyDescent="0.3">
      <c r="A6558" s="5" t="str">
        <f>HYPERLINK("http://www.eatonpowersource.com/products/configure/industrial%20valves/details/846an00015a","846AN00015A")</f>
        <v>846AN00015A</v>
      </c>
      <c r="B6558" s="6" t="s">
        <v>6517</v>
      </c>
    </row>
    <row r="6559" spans="1:2" x14ac:dyDescent="0.3">
      <c r="A6559" s="7" t="str">
        <f>HYPERLINK("http://www.eatonpowersource.com/products/configure/industrial%20valves/details/846an00016a","846AN00016A")</f>
        <v>846AN00016A</v>
      </c>
      <c r="B6559" s="8" t="s">
        <v>6518</v>
      </c>
    </row>
    <row r="6560" spans="1:2" x14ac:dyDescent="0.3">
      <c r="A6560" s="5" t="str">
        <f>HYPERLINK("http://www.eatonpowersource.com/products/configure/industrial%20valves/details/846an00017a","846AN00017A")</f>
        <v>846AN00017A</v>
      </c>
      <c r="B6560" s="6" t="s">
        <v>6519</v>
      </c>
    </row>
    <row r="6561" spans="1:2" x14ac:dyDescent="0.3">
      <c r="A6561" s="7" t="str">
        <f>HYPERLINK("http://www.eatonpowersource.com/products/configure/industrial%20valves/details/846an00018a","846AN00018A")</f>
        <v>846AN00018A</v>
      </c>
      <c r="B6561" s="8" t="s">
        <v>6520</v>
      </c>
    </row>
    <row r="6562" spans="1:2" x14ac:dyDescent="0.3">
      <c r="A6562" s="5" t="str">
        <f>HYPERLINK("http://www.eatonpowersource.com/products/configure/industrial%20valves/details/846an00019a","846AN00019A")</f>
        <v>846AN00019A</v>
      </c>
      <c r="B6562" s="6" t="s">
        <v>6521</v>
      </c>
    </row>
    <row r="6563" spans="1:2" x14ac:dyDescent="0.3">
      <c r="A6563" s="7" t="str">
        <f>HYPERLINK("http://www.eatonpowersource.com/products/configure/industrial%20valves/details/846an00020a","846AN00020A")</f>
        <v>846AN00020A</v>
      </c>
      <c r="B6563" s="8" t="s">
        <v>6522</v>
      </c>
    </row>
    <row r="6564" spans="1:2" x14ac:dyDescent="0.3">
      <c r="A6564" s="5" t="str">
        <f>HYPERLINK("http://www.eatonpowersource.com/products/configure/industrial%20valves/details/846an00021a","846AN00021A")</f>
        <v>846AN00021A</v>
      </c>
      <c r="B6564" s="6" t="s">
        <v>6523</v>
      </c>
    </row>
    <row r="6565" spans="1:2" x14ac:dyDescent="0.3">
      <c r="A6565" s="7" t="str">
        <f>HYPERLINK("http://www.eatonpowersource.com/products/configure/industrial%20valves/details/846an00022a","846AN00022A")</f>
        <v>846AN00022A</v>
      </c>
      <c r="B6565" s="8" t="s">
        <v>6524</v>
      </c>
    </row>
    <row r="6566" spans="1:2" x14ac:dyDescent="0.3">
      <c r="A6566" s="5" t="str">
        <f>HYPERLINK("http://www.eatonpowersource.com/products/configure/industrial%20valves/details/846an00023a","846AN00023A")</f>
        <v>846AN00023A</v>
      </c>
      <c r="B6566" s="6" t="s">
        <v>6525</v>
      </c>
    </row>
    <row r="6567" spans="1:2" x14ac:dyDescent="0.3">
      <c r="A6567" s="7" t="str">
        <f>HYPERLINK("http://www.eatonpowersource.com/products/configure/industrial%20valves/details/846an00024a","846AN00024A")</f>
        <v>846AN00024A</v>
      </c>
      <c r="B6567" s="8" t="s">
        <v>6526</v>
      </c>
    </row>
    <row r="6568" spans="1:2" x14ac:dyDescent="0.3">
      <c r="A6568" s="5" t="str">
        <f>HYPERLINK("http://www.eatonpowersource.com/products/configure/industrial%20valves/details/846an00025a","846AN00025A")</f>
        <v>846AN00025A</v>
      </c>
      <c r="B6568" s="6" t="s">
        <v>6527</v>
      </c>
    </row>
    <row r="6569" spans="1:2" x14ac:dyDescent="0.3">
      <c r="A6569" s="7" t="str">
        <f>HYPERLINK("http://www.eatonpowersource.com/products/configure/industrial%20valves/details/846an00026a","846AN00026A")</f>
        <v>846AN00026A</v>
      </c>
      <c r="B6569" s="8" t="s">
        <v>6528</v>
      </c>
    </row>
    <row r="6570" spans="1:2" x14ac:dyDescent="0.3">
      <c r="A6570" s="5" t="str">
        <f>HYPERLINK("http://www.eatonpowersource.com/products/configure/industrial%20valves/details/846an00027a","846AN00027A")</f>
        <v>846AN00027A</v>
      </c>
      <c r="B6570" s="6" t="s">
        <v>6529</v>
      </c>
    </row>
    <row r="6571" spans="1:2" x14ac:dyDescent="0.3">
      <c r="A6571" s="7" t="str">
        <f>HYPERLINK("http://www.eatonpowersource.com/products/configure/industrial%20valves/details/846an00028a","846AN00028A")</f>
        <v>846AN00028A</v>
      </c>
      <c r="B6571" s="8" t="s">
        <v>6530</v>
      </c>
    </row>
    <row r="6572" spans="1:2" x14ac:dyDescent="0.3">
      <c r="A6572" s="5" t="str">
        <f>HYPERLINK("http://www.eatonpowersource.com/products/configure/industrial%20valves/details/846an00031a","846AN00031A")</f>
        <v>846AN00031A</v>
      </c>
      <c r="B6572" s="6" t="s">
        <v>6531</v>
      </c>
    </row>
    <row r="6573" spans="1:2" x14ac:dyDescent="0.3">
      <c r="A6573" s="7" t="str">
        <f>HYPERLINK("http://www.eatonpowersource.com/products/configure/industrial%20valves/details/846an00032a","846AN00032A")</f>
        <v>846AN00032A</v>
      </c>
      <c r="B6573" s="8" t="s">
        <v>6532</v>
      </c>
    </row>
    <row r="6574" spans="1:2" x14ac:dyDescent="0.3">
      <c r="A6574" s="5" t="str">
        <f>HYPERLINK("http://www.eatonpowersource.com/products/configure/industrial%20valves/details/846an00033a","846AN00033A")</f>
        <v>846AN00033A</v>
      </c>
      <c r="B6574" s="6" t="s">
        <v>6533</v>
      </c>
    </row>
    <row r="6575" spans="1:2" x14ac:dyDescent="0.3">
      <c r="A6575" s="7" t="str">
        <f>HYPERLINK("http://www.eatonpowersource.com/products/configure/industrial%20valves/details/846an00034a","846AN00034A")</f>
        <v>846AN00034A</v>
      </c>
      <c r="B6575" s="8" t="s">
        <v>6534</v>
      </c>
    </row>
    <row r="6576" spans="1:2" x14ac:dyDescent="0.3">
      <c r="A6576" s="5" t="str">
        <f>HYPERLINK("http://www.eatonpowersource.com/products/configure/industrial%20valves/details/846an00035a","846AN00035A")</f>
        <v>846AN00035A</v>
      </c>
      <c r="B6576" s="6" t="s">
        <v>6535</v>
      </c>
    </row>
    <row r="6577" spans="1:2" x14ac:dyDescent="0.3">
      <c r="A6577" s="7" t="str">
        <f>HYPERLINK("http://www.eatonpowersource.com/products/configure/industrial%20valves/details/846an00036a","846AN00036A")</f>
        <v>846AN00036A</v>
      </c>
      <c r="B6577" s="8" t="s">
        <v>6536</v>
      </c>
    </row>
    <row r="6578" spans="1:2" x14ac:dyDescent="0.3">
      <c r="A6578" s="5" t="str">
        <f>HYPERLINK("http://www.eatonpowersource.com/products/configure/industrial%20valves/details/846an00037a","846AN00037A")</f>
        <v>846AN00037A</v>
      </c>
      <c r="B6578" s="6" t="s">
        <v>6537</v>
      </c>
    </row>
    <row r="6579" spans="1:2" x14ac:dyDescent="0.3">
      <c r="A6579" s="7" t="str">
        <f>HYPERLINK("http://www.eatonpowersource.com/products/configure/industrial%20valves/details/846an00038a","846AN00038A")</f>
        <v>846AN00038A</v>
      </c>
      <c r="B6579" s="8" t="s">
        <v>6538</v>
      </c>
    </row>
    <row r="6580" spans="1:2" x14ac:dyDescent="0.3">
      <c r="A6580" s="5" t="str">
        <f>HYPERLINK("http://www.eatonpowersource.com/products/configure/industrial%20valves/details/846an00039a","846AN00039A")</f>
        <v>846AN00039A</v>
      </c>
      <c r="B6580" s="6" t="s">
        <v>6539</v>
      </c>
    </row>
    <row r="6581" spans="1:2" x14ac:dyDescent="0.3">
      <c r="A6581" s="7" t="str">
        <f>HYPERLINK("http://www.eatonpowersource.com/products/configure/industrial%20valves/details/846an00040a","846AN00040A")</f>
        <v>846AN00040A</v>
      </c>
      <c r="B6581" s="8" t="s">
        <v>6540</v>
      </c>
    </row>
    <row r="6582" spans="1:2" x14ac:dyDescent="0.3">
      <c r="A6582" s="5" t="str">
        <f>HYPERLINK("http://www.eatonpowersource.com/products/configure/industrial%20valves/details/846an00041a","846AN00041A")</f>
        <v>846AN00041A</v>
      </c>
      <c r="B6582" s="6" t="s">
        <v>6541</v>
      </c>
    </row>
    <row r="6583" spans="1:2" x14ac:dyDescent="0.3">
      <c r="A6583" s="7" t="str">
        <f>HYPERLINK("http://www.eatonpowersource.com/products/configure/industrial%20valves/details/846an00043a","846AN00043A")</f>
        <v>846AN00043A</v>
      </c>
      <c r="B6583" s="8" t="s">
        <v>6542</v>
      </c>
    </row>
    <row r="6584" spans="1:2" x14ac:dyDescent="0.3">
      <c r="A6584" s="5" t="str">
        <f>HYPERLINK("http://www.eatonpowersource.com/products/configure/industrial%20valves/details/846an00044a","846AN00044A")</f>
        <v>846AN00044A</v>
      </c>
      <c r="B6584" s="6" t="s">
        <v>6543</v>
      </c>
    </row>
    <row r="6585" spans="1:2" x14ac:dyDescent="0.3">
      <c r="A6585" s="7" t="str">
        <f>HYPERLINK("http://www.eatonpowersource.com/products/configure/industrial%20valves/details/846an00048a","846AN00048A")</f>
        <v>846AN00048A</v>
      </c>
      <c r="B6585" s="8" t="s">
        <v>6544</v>
      </c>
    </row>
    <row r="6586" spans="1:2" x14ac:dyDescent="0.3">
      <c r="A6586" s="5" t="str">
        <f>HYPERLINK("http://www.eatonpowersource.com/products/configure/industrial%20valves/details/846an00049a","846AN00049A")</f>
        <v>846AN00049A</v>
      </c>
      <c r="B6586" s="6" t="s">
        <v>6545</v>
      </c>
    </row>
    <row r="6587" spans="1:2" x14ac:dyDescent="0.3">
      <c r="A6587" s="7" t="str">
        <f>HYPERLINK("http://www.eatonpowersource.com/products/configure/industrial%20valves/details/846an00050a","846AN00050A")</f>
        <v>846AN00050A</v>
      </c>
      <c r="B6587" s="8" t="s">
        <v>6546</v>
      </c>
    </row>
    <row r="6588" spans="1:2" x14ac:dyDescent="0.3">
      <c r="A6588" s="5" t="str">
        <f>HYPERLINK("http://www.eatonpowersource.com/products/configure/industrial%20valves/details/846an00051a","846AN00051A")</f>
        <v>846AN00051A</v>
      </c>
      <c r="B6588" s="6" t="s">
        <v>6547</v>
      </c>
    </row>
    <row r="6589" spans="1:2" x14ac:dyDescent="0.3">
      <c r="A6589" s="7" t="str">
        <f>HYPERLINK("http://www.eatonpowersource.com/products/configure/industrial%20valves/details/846an00052a","846AN00052A")</f>
        <v>846AN00052A</v>
      </c>
      <c r="B6589" s="8" t="s">
        <v>6548</v>
      </c>
    </row>
    <row r="6590" spans="1:2" x14ac:dyDescent="0.3">
      <c r="A6590" s="5" t="str">
        <f>HYPERLINK("http://www.eatonpowersource.com/products/configure/industrial%20valves/details/846an00053a","846AN00053A")</f>
        <v>846AN00053A</v>
      </c>
      <c r="B6590" s="6" t="s">
        <v>6549</v>
      </c>
    </row>
    <row r="6591" spans="1:2" x14ac:dyDescent="0.3">
      <c r="A6591" s="7" t="str">
        <f>HYPERLINK("http://www.eatonpowersource.com/products/configure/industrial%20valves/details/846an00054a","846AN00054A")</f>
        <v>846AN00054A</v>
      </c>
      <c r="B6591" s="8" t="s">
        <v>6550</v>
      </c>
    </row>
    <row r="6592" spans="1:2" x14ac:dyDescent="0.3">
      <c r="A6592" s="5" t="str">
        <f>HYPERLINK("http://www.eatonpowersource.com/products/configure/industrial%20valves/details/846an00055a","846AN00055A")</f>
        <v>846AN00055A</v>
      </c>
      <c r="B6592" s="6" t="s">
        <v>6551</v>
      </c>
    </row>
    <row r="6593" spans="1:2" x14ac:dyDescent="0.3">
      <c r="A6593" s="7" t="str">
        <f>HYPERLINK("http://www.eatonpowersource.com/products/configure/industrial%20valves/details/846an00056a","846AN00056A")</f>
        <v>846AN00056A</v>
      </c>
      <c r="B6593" s="8" t="s">
        <v>6552</v>
      </c>
    </row>
    <row r="6594" spans="1:2" x14ac:dyDescent="0.3">
      <c r="A6594" s="5" t="str">
        <f>HYPERLINK("http://www.eatonpowersource.com/products/configure/industrial%20valves/details/846an00059a","846AN00059A")</f>
        <v>846AN00059A</v>
      </c>
      <c r="B6594" s="6" t="s">
        <v>6553</v>
      </c>
    </row>
    <row r="6595" spans="1:2" x14ac:dyDescent="0.3">
      <c r="A6595" s="7" t="str">
        <f>HYPERLINK("http://www.eatonpowersource.com/products/configure/industrial%20valves/details/846an00064a","846AN00064A")</f>
        <v>846AN00064A</v>
      </c>
      <c r="B6595" s="8" t="s">
        <v>6554</v>
      </c>
    </row>
    <row r="6596" spans="1:2" x14ac:dyDescent="0.3">
      <c r="A6596" s="5" t="str">
        <f>HYPERLINK("http://www.eatonpowersource.com/products/configure/industrial%20valves/details/846an00065a","846AN00065A")</f>
        <v>846AN00065A</v>
      </c>
      <c r="B6596" s="6" t="s">
        <v>6555</v>
      </c>
    </row>
    <row r="6597" spans="1:2" x14ac:dyDescent="0.3">
      <c r="A6597" s="7" t="str">
        <f>HYPERLINK("http://www.eatonpowersource.com/products/configure/industrial%20valves/details/846an00068a","846AN00068A")</f>
        <v>846AN00068A</v>
      </c>
      <c r="B6597" s="8" t="s">
        <v>6556</v>
      </c>
    </row>
    <row r="6598" spans="1:2" x14ac:dyDescent="0.3">
      <c r="A6598" s="5" t="str">
        <f>HYPERLINK("http://www.eatonpowersource.com/products/configure/industrial%20valves/details/846an00069a","846AN00069A")</f>
        <v>846AN00069A</v>
      </c>
      <c r="B6598" s="6" t="s">
        <v>6557</v>
      </c>
    </row>
    <row r="6599" spans="1:2" x14ac:dyDescent="0.3">
      <c r="A6599" s="7" t="str">
        <f>HYPERLINK("http://www.eatonpowersource.com/products/configure/industrial%20valves/details/846an00070a","846AN00070A")</f>
        <v>846AN00070A</v>
      </c>
      <c r="B6599" s="8" t="s">
        <v>6558</v>
      </c>
    </row>
    <row r="6600" spans="1:2" x14ac:dyDescent="0.3">
      <c r="A6600" s="5" t="str">
        <f>HYPERLINK("http://www.eatonpowersource.com/products/configure/industrial%20valves/details/846an00071a","846AN00071A")</f>
        <v>846AN00071A</v>
      </c>
      <c r="B6600" s="6" t="s">
        <v>6559</v>
      </c>
    </row>
    <row r="6601" spans="1:2" x14ac:dyDescent="0.3">
      <c r="A6601" s="7" t="str">
        <f>HYPERLINK("http://www.eatonpowersource.com/products/configure/industrial%20valves/details/846an00072a","846AN00072A")</f>
        <v>846AN00072A</v>
      </c>
      <c r="B6601" s="8" t="s">
        <v>6560</v>
      </c>
    </row>
    <row r="6602" spans="1:2" x14ac:dyDescent="0.3">
      <c r="A6602" s="5" t="str">
        <f>HYPERLINK("http://www.eatonpowersource.com/products/configure/industrial%20valves/details/846an00073a","846AN00073A")</f>
        <v>846AN00073A</v>
      </c>
      <c r="B6602" s="6" t="s">
        <v>6561</v>
      </c>
    </row>
    <row r="6603" spans="1:2" x14ac:dyDescent="0.3">
      <c r="A6603" s="7" t="str">
        <f>HYPERLINK("http://www.eatonpowersource.com/products/configure/industrial%20valves/details/846an00075a","846AN00075A")</f>
        <v>846AN00075A</v>
      </c>
      <c r="B6603" s="8" t="s">
        <v>6562</v>
      </c>
    </row>
    <row r="6604" spans="1:2" x14ac:dyDescent="0.3">
      <c r="A6604" s="5" t="str">
        <f>HYPERLINK("http://www.eatonpowersource.com/products/configure/industrial%20valves/details/846an00076a","846AN00076A")</f>
        <v>846AN00076A</v>
      </c>
      <c r="B6604" s="6" t="s">
        <v>6563</v>
      </c>
    </row>
    <row r="6605" spans="1:2" x14ac:dyDescent="0.3">
      <c r="A6605" s="7" t="str">
        <f>HYPERLINK("http://www.eatonpowersource.com/products/configure/industrial%20valves/details/846an00077a","846AN00077A")</f>
        <v>846AN00077A</v>
      </c>
      <c r="B6605" s="8" t="s">
        <v>6564</v>
      </c>
    </row>
    <row r="6606" spans="1:2" x14ac:dyDescent="0.3">
      <c r="A6606" s="5" t="str">
        <f>HYPERLINK("http://www.eatonpowersource.com/products/configure/industrial%20valves/details/846an00080a","846AN00080A")</f>
        <v>846AN00080A</v>
      </c>
      <c r="B6606" s="6" t="s">
        <v>6565</v>
      </c>
    </row>
    <row r="6607" spans="1:2" x14ac:dyDescent="0.3">
      <c r="A6607" s="7" t="str">
        <f>HYPERLINK("http://www.eatonpowersource.com/products/configure/industrial%20valves/details/846an00081a","846AN00081A")</f>
        <v>846AN00081A</v>
      </c>
      <c r="B6607" s="8" t="s">
        <v>6566</v>
      </c>
    </row>
    <row r="6608" spans="1:2" x14ac:dyDescent="0.3">
      <c r="A6608" s="5" t="str">
        <f>HYPERLINK("http://www.eatonpowersource.com/products/configure/industrial%20valves/details/846an00082a","846AN00082A")</f>
        <v>846AN00082A</v>
      </c>
      <c r="B6608" s="6" t="s">
        <v>6567</v>
      </c>
    </row>
    <row r="6609" spans="1:2" x14ac:dyDescent="0.3">
      <c r="A6609" s="7" t="str">
        <f>HYPERLINK("http://www.eatonpowersource.com/products/configure/industrial%20valves/details/846an00083a","846AN00083A")</f>
        <v>846AN00083A</v>
      </c>
      <c r="B6609" s="8" t="s">
        <v>6568</v>
      </c>
    </row>
    <row r="6610" spans="1:2" x14ac:dyDescent="0.3">
      <c r="A6610" s="5" t="str">
        <f>HYPERLINK("http://www.eatonpowersource.com/products/configure/industrial%20valves/details/846an00084a","846AN00084A")</f>
        <v>846AN00084A</v>
      </c>
      <c r="B6610" s="6" t="s">
        <v>6569</v>
      </c>
    </row>
    <row r="6611" spans="1:2" x14ac:dyDescent="0.3">
      <c r="A6611" s="7" t="str">
        <f>HYPERLINK("http://www.eatonpowersource.com/products/configure/industrial%20valves/details/846an00087a","846AN00087A")</f>
        <v>846AN00087A</v>
      </c>
      <c r="B6611" s="8" t="s">
        <v>6570</v>
      </c>
    </row>
    <row r="6612" spans="1:2" x14ac:dyDescent="0.3">
      <c r="A6612" s="5" t="str">
        <f>HYPERLINK("http://www.eatonpowersource.com/products/configure/industrial%20valves/details/846an00088a","846AN00088A")</f>
        <v>846AN00088A</v>
      </c>
      <c r="B6612" s="6" t="s">
        <v>6571</v>
      </c>
    </row>
    <row r="6613" spans="1:2" x14ac:dyDescent="0.3">
      <c r="A6613" s="7" t="str">
        <f>HYPERLINK("http://www.eatonpowersource.com/products/configure/industrial%20valves/details/846an00089a","846AN00089A")</f>
        <v>846AN00089A</v>
      </c>
      <c r="B6613" s="8" t="s">
        <v>6572</v>
      </c>
    </row>
    <row r="6614" spans="1:2" x14ac:dyDescent="0.3">
      <c r="A6614" s="5" t="str">
        <f>HYPERLINK("http://www.eatonpowersource.com/products/configure/industrial%20valves/details/846an00090a","846AN00090A")</f>
        <v>846AN00090A</v>
      </c>
      <c r="B6614" s="6" t="s">
        <v>6573</v>
      </c>
    </row>
    <row r="6615" spans="1:2" x14ac:dyDescent="0.3">
      <c r="A6615" s="7" t="str">
        <f>HYPERLINK("http://www.eatonpowersource.com/products/configure/industrial%20valves/details/846an00091a","846AN00091A")</f>
        <v>846AN00091A</v>
      </c>
      <c r="B6615" s="8" t="s">
        <v>6574</v>
      </c>
    </row>
    <row r="6616" spans="1:2" x14ac:dyDescent="0.3">
      <c r="A6616" s="5" t="str">
        <f>HYPERLINK("http://www.eatonpowersource.com/products/configure/industrial%20valves/details/846an00093a","846AN00093A")</f>
        <v>846AN00093A</v>
      </c>
      <c r="B6616" s="6" t="s">
        <v>6575</v>
      </c>
    </row>
    <row r="6617" spans="1:2" x14ac:dyDescent="0.3">
      <c r="A6617" s="7" t="str">
        <f>HYPERLINK("http://www.eatonpowersource.com/products/configure/industrial%20valves/details/846an00094a","846AN00094A")</f>
        <v>846AN00094A</v>
      </c>
      <c r="B6617" s="8" t="s">
        <v>6576</v>
      </c>
    </row>
    <row r="6618" spans="1:2" x14ac:dyDescent="0.3">
      <c r="A6618" s="5" t="str">
        <f>HYPERLINK("http://www.eatonpowersource.com/products/configure/industrial%20valves/details/846an00097a","846AN00097A")</f>
        <v>846AN00097A</v>
      </c>
      <c r="B6618" s="6" t="s">
        <v>6577</v>
      </c>
    </row>
    <row r="6619" spans="1:2" x14ac:dyDescent="0.3">
      <c r="A6619" s="7" t="str">
        <f>HYPERLINK("http://www.eatonpowersource.com/products/configure/industrial%20valves/details/846an00098a","846AN00098A")</f>
        <v>846AN00098A</v>
      </c>
      <c r="B6619" s="8" t="s">
        <v>6578</v>
      </c>
    </row>
    <row r="6620" spans="1:2" x14ac:dyDescent="0.3">
      <c r="A6620" s="5" t="str">
        <f>HYPERLINK("http://www.eatonpowersource.com/products/configure/industrial%20valves/details/846an00100a","846AN00100A")</f>
        <v>846AN00100A</v>
      </c>
      <c r="B6620" s="6" t="s">
        <v>6579</v>
      </c>
    </row>
    <row r="6621" spans="1:2" x14ac:dyDescent="0.3">
      <c r="A6621" s="7" t="str">
        <f>HYPERLINK("http://www.eatonpowersource.com/products/configure/industrial%20valves/details/846an00102a","846AN00102A")</f>
        <v>846AN00102A</v>
      </c>
      <c r="B6621" s="8" t="s">
        <v>6580</v>
      </c>
    </row>
    <row r="6622" spans="1:2" x14ac:dyDescent="0.3">
      <c r="A6622" s="5" t="str">
        <f>HYPERLINK("http://www.eatonpowersource.com/products/configure/industrial%20valves/details/846an00103a","846AN00103A")</f>
        <v>846AN00103A</v>
      </c>
      <c r="B6622" s="6" t="s">
        <v>6581</v>
      </c>
    </row>
    <row r="6623" spans="1:2" x14ac:dyDescent="0.3">
      <c r="A6623" s="7" t="str">
        <f>HYPERLINK("http://www.eatonpowersource.com/products/configure/industrial%20valves/details/846an00104a","846AN00104A")</f>
        <v>846AN00104A</v>
      </c>
      <c r="B6623" s="8" t="s">
        <v>6582</v>
      </c>
    </row>
    <row r="6624" spans="1:2" x14ac:dyDescent="0.3">
      <c r="A6624" s="5" t="str">
        <f>HYPERLINK("http://www.eatonpowersource.com/products/configure/industrial%20valves/details/846an00105a","846AN00105A")</f>
        <v>846AN00105A</v>
      </c>
      <c r="B6624" s="6" t="s">
        <v>6583</v>
      </c>
    </row>
    <row r="6625" spans="1:2" x14ac:dyDescent="0.3">
      <c r="A6625" s="7" t="str">
        <f>HYPERLINK("http://www.eatonpowersource.com/products/configure/industrial%20valves/details/846an00106a","846AN00106A")</f>
        <v>846AN00106A</v>
      </c>
      <c r="B6625" s="8" t="s">
        <v>6584</v>
      </c>
    </row>
    <row r="6626" spans="1:2" x14ac:dyDescent="0.3">
      <c r="A6626" s="5" t="str">
        <f>HYPERLINK("http://www.eatonpowersource.com/products/configure/industrial%20valves/details/846an00109a","846AN00109A")</f>
        <v>846AN00109A</v>
      </c>
      <c r="B6626" s="6" t="s">
        <v>6585</v>
      </c>
    </row>
    <row r="6627" spans="1:2" x14ac:dyDescent="0.3">
      <c r="A6627" s="7" t="str">
        <f>HYPERLINK("http://www.eatonpowersource.com/products/configure/industrial%20valves/details/846an00111a","846AN00111A")</f>
        <v>846AN00111A</v>
      </c>
      <c r="B6627" s="8" t="s">
        <v>6586</v>
      </c>
    </row>
    <row r="6628" spans="1:2" x14ac:dyDescent="0.3">
      <c r="A6628" s="5" t="str">
        <f>HYPERLINK("http://www.eatonpowersource.com/products/configure/industrial%20valves/details/846an00112a","846AN00112A")</f>
        <v>846AN00112A</v>
      </c>
      <c r="B6628" s="6" t="s">
        <v>6587</v>
      </c>
    </row>
    <row r="6629" spans="1:2" x14ac:dyDescent="0.3">
      <c r="A6629" s="7" t="str">
        <f>HYPERLINK("http://www.eatonpowersource.com/products/configure/industrial%20valves/details/846an00113a","846AN00113A")</f>
        <v>846AN00113A</v>
      </c>
      <c r="B6629" s="8" t="s">
        <v>6588</v>
      </c>
    </row>
    <row r="6630" spans="1:2" x14ac:dyDescent="0.3">
      <c r="A6630" s="5" t="str">
        <f>HYPERLINK("http://www.eatonpowersource.com/products/configure/industrial%20valves/details/846an00114a","846AN00114A")</f>
        <v>846AN00114A</v>
      </c>
      <c r="B6630" s="6" t="s">
        <v>6589</v>
      </c>
    </row>
    <row r="6631" spans="1:2" x14ac:dyDescent="0.3">
      <c r="A6631" s="7" t="str">
        <f>HYPERLINK("http://www.eatonpowersource.com/products/configure/industrial%20valves/details/846an00115a","846AN00115A")</f>
        <v>846AN00115A</v>
      </c>
      <c r="B6631" s="8" t="s">
        <v>6590</v>
      </c>
    </row>
    <row r="6632" spans="1:2" x14ac:dyDescent="0.3">
      <c r="A6632" s="5" t="str">
        <f>HYPERLINK("http://www.eatonpowersource.com/products/configure/industrial%20valves/details/846an00117a","846AN00117A")</f>
        <v>846AN00117A</v>
      </c>
      <c r="B6632" s="6" t="s">
        <v>6591</v>
      </c>
    </row>
    <row r="6633" spans="1:2" x14ac:dyDescent="0.3">
      <c r="A6633" s="7" t="str">
        <f>HYPERLINK("http://www.eatonpowersource.com/products/configure/industrial%20valves/details/846an00118a","846AN00118A")</f>
        <v>846AN00118A</v>
      </c>
      <c r="B6633" s="8" t="s">
        <v>6592</v>
      </c>
    </row>
    <row r="6634" spans="1:2" x14ac:dyDescent="0.3">
      <c r="A6634" s="5" t="str">
        <f>HYPERLINK("http://www.eatonpowersource.com/products/configure/industrial%20valves/details/846an00120a","846AN00120A")</f>
        <v>846AN00120A</v>
      </c>
      <c r="B6634" s="6" t="s">
        <v>6593</v>
      </c>
    </row>
    <row r="6635" spans="1:2" x14ac:dyDescent="0.3">
      <c r="A6635" s="7" t="str">
        <f>HYPERLINK("http://www.eatonpowersource.com/products/configure/industrial%20valves/details/846an00121a","846AN00121A")</f>
        <v>846AN00121A</v>
      </c>
      <c r="B6635" s="8" t="s">
        <v>6594</v>
      </c>
    </row>
    <row r="6636" spans="1:2" x14ac:dyDescent="0.3">
      <c r="A6636" s="5" t="str">
        <f>HYPERLINK("http://www.eatonpowersource.com/products/configure/industrial%20valves/details/846an00125a","846AN00125A")</f>
        <v>846AN00125A</v>
      </c>
      <c r="B6636" s="6" t="s">
        <v>6595</v>
      </c>
    </row>
    <row r="6637" spans="1:2" x14ac:dyDescent="0.3">
      <c r="A6637" s="7" t="str">
        <f>HYPERLINK("http://www.eatonpowersource.com/products/configure/industrial%20valves/details/846an00128a","846AN00128A")</f>
        <v>846AN00128A</v>
      </c>
      <c r="B6637" s="8" t="s">
        <v>6596</v>
      </c>
    </row>
    <row r="6638" spans="1:2" x14ac:dyDescent="0.3">
      <c r="A6638" s="5" t="str">
        <f>HYPERLINK("http://www.eatonpowersource.com/products/configure/industrial%20valves/details/846an00129a","846AN00129A")</f>
        <v>846AN00129A</v>
      </c>
      <c r="B6638" s="6" t="s">
        <v>6597</v>
      </c>
    </row>
    <row r="6639" spans="1:2" x14ac:dyDescent="0.3">
      <c r="A6639" s="7" t="str">
        <f>HYPERLINK("http://www.eatonpowersource.com/products/configure/industrial%20valves/details/846an00133a","846AN00133A")</f>
        <v>846AN00133A</v>
      </c>
      <c r="B6639" s="8" t="s">
        <v>6598</v>
      </c>
    </row>
    <row r="6640" spans="1:2" x14ac:dyDescent="0.3">
      <c r="A6640" s="5" t="str">
        <f>HYPERLINK("http://www.eatonpowersource.com/products/configure/industrial%20valves/details/846an00134a","846AN00134A")</f>
        <v>846AN00134A</v>
      </c>
      <c r="B6640" s="6" t="s">
        <v>6599</v>
      </c>
    </row>
    <row r="6641" spans="1:2" x14ac:dyDescent="0.3">
      <c r="A6641" s="7" t="str">
        <f>HYPERLINK("http://www.eatonpowersource.com/products/configure/industrial%20valves/details/846an00137a","846AN00137A")</f>
        <v>846AN00137A</v>
      </c>
      <c r="B6641" s="8" t="s">
        <v>6600</v>
      </c>
    </row>
    <row r="6642" spans="1:2" x14ac:dyDescent="0.3">
      <c r="A6642" s="5" t="str">
        <f>HYPERLINK("http://www.eatonpowersource.com/products/configure/industrial%20valves/details/846an00138a","846AN00138A")</f>
        <v>846AN00138A</v>
      </c>
      <c r="B6642" s="6" t="s">
        <v>6601</v>
      </c>
    </row>
    <row r="6643" spans="1:2" x14ac:dyDescent="0.3">
      <c r="A6643" s="7" t="str">
        <f>HYPERLINK("http://www.eatonpowersource.com/products/configure/industrial%20valves/details/846an00139a","846AN00139A")</f>
        <v>846AN00139A</v>
      </c>
      <c r="B6643" s="8" t="s">
        <v>6602</v>
      </c>
    </row>
    <row r="6644" spans="1:2" x14ac:dyDescent="0.3">
      <c r="A6644" s="5" t="str">
        <f>HYPERLINK("http://www.eatonpowersource.com/products/configure/industrial%20valves/details/846an00140a","846AN00140A")</f>
        <v>846AN00140A</v>
      </c>
      <c r="B6644" s="6" t="s">
        <v>6603</v>
      </c>
    </row>
    <row r="6645" spans="1:2" x14ac:dyDescent="0.3">
      <c r="A6645" s="7" t="str">
        <f>HYPERLINK("http://www.eatonpowersource.com/products/configure/industrial%20valves/details/846an00144a","846AN00144A")</f>
        <v>846AN00144A</v>
      </c>
      <c r="B6645" s="8" t="s">
        <v>6604</v>
      </c>
    </row>
    <row r="6646" spans="1:2" x14ac:dyDescent="0.3">
      <c r="A6646" s="5" t="str">
        <f>HYPERLINK("http://www.eatonpowersource.com/products/configure/industrial%20valves/details/846an00147a","846AN00147A")</f>
        <v>846AN00147A</v>
      </c>
      <c r="B6646" s="6" t="s">
        <v>6605</v>
      </c>
    </row>
    <row r="6647" spans="1:2" x14ac:dyDescent="0.3">
      <c r="A6647" s="7" t="str">
        <f>HYPERLINK("http://www.eatonpowersource.com/products/configure/industrial%20valves/details/846an00152a","846AN00152A")</f>
        <v>846AN00152A</v>
      </c>
      <c r="B6647" s="8" t="s">
        <v>6606</v>
      </c>
    </row>
    <row r="6648" spans="1:2" x14ac:dyDescent="0.3">
      <c r="A6648" s="5" t="str">
        <f>HYPERLINK("http://www.eatonpowersource.com/products/configure/industrial%20valves/details/846an00153a","846AN00153A")</f>
        <v>846AN00153A</v>
      </c>
      <c r="B6648" s="6" t="s">
        <v>6607</v>
      </c>
    </row>
    <row r="6649" spans="1:2" x14ac:dyDescent="0.3">
      <c r="A6649" s="7" t="str">
        <f>HYPERLINK("http://www.eatonpowersource.com/products/configure/industrial%20valves/details/846an00156a","846AN00156A")</f>
        <v>846AN00156A</v>
      </c>
      <c r="B6649" s="8" t="s">
        <v>6608</v>
      </c>
    </row>
    <row r="6650" spans="1:2" x14ac:dyDescent="0.3">
      <c r="A6650" s="5" t="str">
        <f>HYPERLINK("http://www.eatonpowersource.com/products/configure/industrial%20valves/details/846an00157a","846AN00157A")</f>
        <v>846AN00157A</v>
      </c>
      <c r="B6650" s="6" t="s">
        <v>6609</v>
      </c>
    </row>
    <row r="6651" spans="1:2" x14ac:dyDescent="0.3">
      <c r="A6651" s="7" t="str">
        <f>HYPERLINK("http://www.eatonpowersource.com/products/configure/industrial%20valves/details/846an00159a","846AN00159A")</f>
        <v>846AN00159A</v>
      </c>
      <c r="B6651" s="8" t="s">
        <v>6610</v>
      </c>
    </row>
    <row r="6652" spans="1:2" x14ac:dyDescent="0.3">
      <c r="A6652" s="5" t="str">
        <f>HYPERLINK("http://www.eatonpowersource.com/products/configure/industrial%20valves/details/846an00161a","846AN00161A")</f>
        <v>846AN00161A</v>
      </c>
      <c r="B6652" s="6" t="s">
        <v>6611</v>
      </c>
    </row>
    <row r="6653" spans="1:2" x14ac:dyDescent="0.3">
      <c r="A6653" s="7" t="str">
        <f>HYPERLINK("http://www.eatonpowersource.com/products/configure/industrial%20valves/details/846an00165a","846AN00165A")</f>
        <v>846AN00165A</v>
      </c>
      <c r="B6653" s="8" t="s">
        <v>6612</v>
      </c>
    </row>
    <row r="6654" spans="1:2" x14ac:dyDescent="0.3">
      <c r="A6654" s="5" t="str">
        <f>HYPERLINK("http://www.eatonpowersource.com/products/configure/industrial%20valves/details/846an00166a","846AN00166A")</f>
        <v>846AN00166A</v>
      </c>
      <c r="B6654" s="6" t="s">
        <v>6613</v>
      </c>
    </row>
    <row r="6655" spans="1:2" x14ac:dyDescent="0.3">
      <c r="A6655" s="7" t="str">
        <f>HYPERLINK("http://www.eatonpowersource.com/products/configure/industrial%20valves/details/846an00170a","846AN00170A")</f>
        <v>846AN00170A</v>
      </c>
      <c r="B6655" s="8" t="s">
        <v>6614</v>
      </c>
    </row>
    <row r="6656" spans="1:2" x14ac:dyDescent="0.3">
      <c r="A6656" s="5" t="str">
        <f>HYPERLINK("http://www.eatonpowersource.com/products/configure/industrial%20valves/details/846an00172a","846AN00172A")</f>
        <v>846AN00172A</v>
      </c>
      <c r="B6656" s="6" t="s">
        <v>6615</v>
      </c>
    </row>
    <row r="6657" spans="1:2" x14ac:dyDescent="0.3">
      <c r="A6657" s="7" t="str">
        <f>HYPERLINK("http://www.eatonpowersource.com/products/configure/industrial%20valves/details/846an00174a","846AN00174A")</f>
        <v>846AN00174A</v>
      </c>
      <c r="B6657" s="8" t="s">
        <v>6616</v>
      </c>
    </row>
    <row r="6658" spans="1:2" x14ac:dyDescent="0.3">
      <c r="A6658" s="5" t="str">
        <f>HYPERLINK("http://www.eatonpowersource.com/products/configure/industrial%20valves/details/846an00178a","846AN00178A")</f>
        <v>846AN00178A</v>
      </c>
      <c r="B6658" s="6" t="s">
        <v>6617</v>
      </c>
    </row>
    <row r="6659" spans="1:2" x14ac:dyDescent="0.3">
      <c r="A6659" s="7" t="str">
        <f>HYPERLINK("http://www.eatonpowersource.com/products/configure/industrial%20valves/details/846an00183a","846AN00183A")</f>
        <v>846AN00183A</v>
      </c>
      <c r="B6659" s="8" t="s">
        <v>6618</v>
      </c>
    </row>
    <row r="6660" spans="1:2" x14ac:dyDescent="0.3">
      <c r="A6660" s="5" t="str">
        <f>HYPERLINK("http://www.eatonpowersource.com/products/configure/industrial%20valves/details/846an00185a","846AN00185A")</f>
        <v>846AN00185A</v>
      </c>
      <c r="B6660" s="6" t="s">
        <v>6619</v>
      </c>
    </row>
    <row r="6661" spans="1:2" x14ac:dyDescent="0.3">
      <c r="A6661" s="7" t="str">
        <f>HYPERLINK("http://www.eatonpowersource.com/products/configure/industrial%20valves/details/846an00204a","846AN00204A")</f>
        <v>846AN00204A</v>
      </c>
      <c r="B6661" s="8" t="s">
        <v>6620</v>
      </c>
    </row>
    <row r="6662" spans="1:2" x14ac:dyDescent="0.3">
      <c r="A6662" s="5" t="str">
        <f>HYPERLINK("http://www.eatonpowersource.com/products/configure/industrial%20valves/details/846an00215a","846AN00215A")</f>
        <v>846AN00215A</v>
      </c>
      <c r="B6662" s="6" t="s">
        <v>6621</v>
      </c>
    </row>
    <row r="6663" spans="1:2" x14ac:dyDescent="0.3">
      <c r="A6663" s="7" t="str">
        <f>HYPERLINK("http://www.eatonpowersource.com/products/configure/industrial%20valves/details/846an00225a","846AN00225A")</f>
        <v>846AN00225A</v>
      </c>
      <c r="B6663" s="8" t="s">
        <v>6622</v>
      </c>
    </row>
    <row r="6664" spans="1:2" x14ac:dyDescent="0.3">
      <c r="A6664" s="5" t="str">
        <f>HYPERLINK("http://www.eatonpowersource.com/products/configure/industrial%20valves/details/846an00227a","846AN00227A")</f>
        <v>846AN00227A</v>
      </c>
      <c r="B6664" s="6" t="s">
        <v>6623</v>
      </c>
    </row>
    <row r="6665" spans="1:2" x14ac:dyDescent="0.3">
      <c r="A6665" s="7" t="str">
        <f>HYPERLINK("http://www.eatonpowersource.com/products/configure/industrial%20valves/details/846an00233a","846AN00233A")</f>
        <v>846AN00233A</v>
      </c>
      <c r="B6665" s="8" t="s">
        <v>6624</v>
      </c>
    </row>
    <row r="6666" spans="1:2" x14ac:dyDescent="0.3">
      <c r="A6666" s="5" t="str">
        <f>HYPERLINK("http://www.eatonpowersource.com/products/configure/industrial%20valves/details/846an00237a","846AN00237A")</f>
        <v>846AN00237A</v>
      </c>
      <c r="B6666" s="6" t="s">
        <v>6625</v>
      </c>
    </row>
    <row r="6667" spans="1:2" x14ac:dyDescent="0.3">
      <c r="A6667" s="7" t="str">
        <f>HYPERLINK("http://www.eatonpowersource.com/products/configure/industrial%20valves/details/846an00240a","846AN00240A")</f>
        <v>846AN00240A</v>
      </c>
      <c r="B6667" s="8" t="s">
        <v>6626</v>
      </c>
    </row>
    <row r="6668" spans="1:2" x14ac:dyDescent="0.3">
      <c r="A6668" s="5" t="str">
        <f>HYPERLINK("http://www.eatonpowersource.com/products/configure/industrial%20valves/details/846an00260a","846AN00260A")</f>
        <v>846AN00260A</v>
      </c>
      <c r="B6668" s="6" t="s">
        <v>6627</v>
      </c>
    </row>
    <row r="6669" spans="1:2" x14ac:dyDescent="0.3">
      <c r="A6669" s="7" t="str">
        <f>HYPERLINK("http://www.eatonpowersource.com/products/configure/industrial%20valves/details/846an00263a","846AN00263A")</f>
        <v>846AN00263A</v>
      </c>
      <c r="B6669" s="8" t="s">
        <v>6628</v>
      </c>
    </row>
    <row r="6670" spans="1:2" x14ac:dyDescent="0.3">
      <c r="A6670" s="5" t="str">
        <f>HYPERLINK("http://www.eatonpowersource.com/products/configure/industrial%20valves/details/846an00271a","846AN00271A")</f>
        <v>846AN00271A</v>
      </c>
      <c r="B6670" s="6" t="s">
        <v>6629</v>
      </c>
    </row>
    <row r="6671" spans="1:2" x14ac:dyDescent="0.3">
      <c r="A6671" s="7" t="str">
        <f>HYPERLINK("http://www.eatonpowersource.com/products/configure/industrial%20valves/details/846an00272a","846AN00272A")</f>
        <v>846AN00272A</v>
      </c>
      <c r="B6671" s="8" t="s">
        <v>6630</v>
      </c>
    </row>
    <row r="6672" spans="1:2" x14ac:dyDescent="0.3">
      <c r="A6672" s="5" t="str">
        <f>HYPERLINK("http://www.eatonpowersource.com/products/configure/industrial%20valves/details/846an00276a","846AN00276A")</f>
        <v>846AN00276A</v>
      </c>
      <c r="B6672" s="6" t="s">
        <v>6631</v>
      </c>
    </row>
    <row r="6673" spans="1:2" x14ac:dyDescent="0.3">
      <c r="A6673" s="7" t="str">
        <f>HYPERLINK("http://www.eatonpowersource.com/products/configure/industrial%20valves/details/846an00283a","846AN00283A")</f>
        <v>846AN00283A</v>
      </c>
      <c r="B6673" s="8" t="s">
        <v>6632</v>
      </c>
    </row>
    <row r="6674" spans="1:2" x14ac:dyDescent="0.3">
      <c r="A6674" s="5" t="str">
        <f>HYPERLINK("http://www.eatonpowersource.com/products/configure/industrial%20valves/details/846an00286a","846AN00286A")</f>
        <v>846AN00286A</v>
      </c>
      <c r="B6674" s="6" t="s">
        <v>6633</v>
      </c>
    </row>
    <row r="6675" spans="1:2" x14ac:dyDescent="0.3">
      <c r="A6675" s="7" t="str">
        <f>HYPERLINK("http://www.eatonpowersource.com/products/configure/industrial%20valves/details/846an00293a","846AN00293A")</f>
        <v>846AN00293A</v>
      </c>
      <c r="B6675" s="8" t="s">
        <v>6634</v>
      </c>
    </row>
    <row r="6676" spans="1:2" x14ac:dyDescent="0.3">
      <c r="A6676" s="5" t="str">
        <f>HYPERLINK("http://www.eatonpowersource.com/products/configure/industrial%20valves/details/846an00297a","846AN00297A")</f>
        <v>846AN00297A</v>
      </c>
      <c r="B6676" s="6" t="s">
        <v>6635</v>
      </c>
    </row>
    <row r="6677" spans="1:2" x14ac:dyDescent="0.3">
      <c r="A6677" s="7" t="str">
        <f>HYPERLINK("http://www.eatonpowersource.com/products/configure/industrial%20valves/details/846an00299a","846AN00299A")</f>
        <v>846AN00299A</v>
      </c>
      <c r="B6677" s="8" t="s">
        <v>6636</v>
      </c>
    </row>
    <row r="6678" spans="1:2" x14ac:dyDescent="0.3">
      <c r="A6678" s="5" t="str">
        <f>HYPERLINK("http://www.eatonpowersource.com/products/configure/industrial%20valves/details/846an00300a","846AN00300A")</f>
        <v>846AN00300A</v>
      </c>
      <c r="B6678" s="6" t="s">
        <v>6637</v>
      </c>
    </row>
    <row r="6679" spans="1:2" x14ac:dyDescent="0.3">
      <c r="A6679" s="7" t="str">
        <f>HYPERLINK("http://www.eatonpowersource.com/products/configure/industrial%20valves/details/846an00302a","846AN00302A")</f>
        <v>846AN00302A</v>
      </c>
      <c r="B6679" s="8" t="s">
        <v>6638</v>
      </c>
    </row>
    <row r="6680" spans="1:2" x14ac:dyDescent="0.3">
      <c r="A6680" s="5" t="str">
        <f>HYPERLINK("http://www.eatonpowersource.com/products/configure/industrial%20valves/details/846an00310a","846AN00310A")</f>
        <v>846AN00310A</v>
      </c>
      <c r="B6680" s="6" t="s">
        <v>6639</v>
      </c>
    </row>
    <row r="6681" spans="1:2" x14ac:dyDescent="0.3">
      <c r="A6681" s="7" t="str">
        <f>HYPERLINK("http://www.eatonpowersource.com/products/configure/industrial%20valves/details/846an00311a","846AN00311A")</f>
        <v>846AN00311A</v>
      </c>
      <c r="B6681" s="8" t="s">
        <v>6640</v>
      </c>
    </row>
    <row r="6682" spans="1:2" x14ac:dyDescent="0.3">
      <c r="A6682" s="5" t="str">
        <f>HYPERLINK("http://www.eatonpowersource.com/products/configure/industrial%20valves/details/846an00320a","846AN00320A")</f>
        <v>846AN00320A</v>
      </c>
      <c r="B6682" s="6" t="s">
        <v>6641</v>
      </c>
    </row>
    <row r="6683" spans="1:2" x14ac:dyDescent="0.3">
      <c r="A6683" s="7" t="str">
        <f>HYPERLINK("http://www.eatonpowersource.com/products/configure/industrial%20valves/details/846an00330a","846AN00330A")</f>
        <v>846AN00330A</v>
      </c>
      <c r="B6683" s="8" t="s">
        <v>6642</v>
      </c>
    </row>
    <row r="6684" spans="1:2" x14ac:dyDescent="0.3">
      <c r="A6684" s="5" t="str">
        <f>HYPERLINK("http://www.eatonpowersource.com/products/configure/industrial%20valves/details/846an00340a","846AN00340A")</f>
        <v>846AN00340A</v>
      </c>
      <c r="B6684" s="6" t="s">
        <v>6643</v>
      </c>
    </row>
    <row r="6685" spans="1:2" x14ac:dyDescent="0.3">
      <c r="A6685" s="7" t="str">
        <f>HYPERLINK("http://www.eatonpowersource.com/products/configure/industrial%20valves/details/846an00342a","846AN00342A")</f>
        <v>846AN00342A</v>
      </c>
      <c r="B6685" s="8" t="s">
        <v>6644</v>
      </c>
    </row>
    <row r="6686" spans="1:2" x14ac:dyDescent="0.3">
      <c r="A6686" s="5" t="str">
        <f>HYPERLINK("http://www.eatonpowersource.com/products/configure/industrial%20valves/details/846an00352a","846AN00352A")</f>
        <v>846AN00352A</v>
      </c>
      <c r="B6686" s="6" t="s">
        <v>6645</v>
      </c>
    </row>
    <row r="6687" spans="1:2" x14ac:dyDescent="0.3">
      <c r="A6687" s="7" t="str">
        <f>HYPERLINK("http://www.eatonpowersource.com/products/configure/industrial%20valves/details/846an00357a","846AN00357A")</f>
        <v>846AN00357A</v>
      </c>
      <c r="B6687" s="8" t="s">
        <v>6646</v>
      </c>
    </row>
    <row r="6688" spans="1:2" x14ac:dyDescent="0.3">
      <c r="A6688" s="5" t="str">
        <f>HYPERLINK("http://www.eatonpowersource.com/products/configure/industrial%20valves/details/846an00358a","846AN00358A")</f>
        <v>846AN00358A</v>
      </c>
      <c r="B6688" s="6" t="s">
        <v>6647</v>
      </c>
    </row>
    <row r="6689" spans="1:2" x14ac:dyDescent="0.3">
      <c r="A6689" s="7" t="str">
        <f>HYPERLINK("http://www.eatonpowersource.com/products/configure/industrial%20valves/details/846an00360a","846AN00360A")</f>
        <v>846AN00360A</v>
      </c>
      <c r="B6689" s="8" t="s">
        <v>6648</v>
      </c>
    </row>
    <row r="6690" spans="1:2" x14ac:dyDescent="0.3">
      <c r="A6690" s="5" t="str">
        <f>HYPERLINK("http://www.eatonpowersource.com/products/configure/industrial%20valves/details/846an00369a","846AN00369A")</f>
        <v>846AN00369A</v>
      </c>
      <c r="B6690" s="6" t="s">
        <v>6649</v>
      </c>
    </row>
    <row r="6691" spans="1:2" x14ac:dyDescent="0.3">
      <c r="A6691" s="7" t="str">
        <f>HYPERLINK("http://www.eatonpowersource.com/products/configure/industrial%20valves/details/846an00374a","846AN00374A")</f>
        <v>846AN00374A</v>
      </c>
      <c r="B6691" s="8" t="s">
        <v>6650</v>
      </c>
    </row>
    <row r="6692" spans="1:2" x14ac:dyDescent="0.3">
      <c r="A6692" s="5" t="str">
        <f>HYPERLINK("http://www.eatonpowersource.com/products/configure/industrial%20valves/details/846an00377a","846AN00377A")</f>
        <v>846AN00377A</v>
      </c>
      <c r="B6692" s="6" t="s">
        <v>6651</v>
      </c>
    </row>
    <row r="6693" spans="1:2" x14ac:dyDescent="0.3">
      <c r="A6693" s="7" t="str">
        <f>HYPERLINK("http://www.eatonpowersource.com/products/configure/industrial%20valves/details/846an00378a","846AN00378A")</f>
        <v>846AN00378A</v>
      </c>
      <c r="B6693" s="8" t="s">
        <v>6652</v>
      </c>
    </row>
    <row r="6694" spans="1:2" x14ac:dyDescent="0.3">
      <c r="A6694" s="5" t="str">
        <f>HYPERLINK("http://www.eatonpowersource.com/products/configure/industrial%20valves/details/846an00379a","846AN00379A")</f>
        <v>846AN00379A</v>
      </c>
      <c r="B6694" s="6" t="s">
        <v>6653</v>
      </c>
    </row>
    <row r="6695" spans="1:2" x14ac:dyDescent="0.3">
      <c r="A6695" s="7" t="str">
        <f>HYPERLINK("http://www.eatonpowersource.com/products/configure/industrial%20valves/details/846an00381a","846AN00381A")</f>
        <v>846AN00381A</v>
      </c>
      <c r="B6695" s="8" t="s">
        <v>6654</v>
      </c>
    </row>
    <row r="6696" spans="1:2" x14ac:dyDescent="0.3">
      <c r="A6696" s="5" t="str">
        <f>HYPERLINK("http://www.eatonpowersource.com/products/configure/industrial%20valves/details/846an00383a","846AN00383A")</f>
        <v>846AN00383A</v>
      </c>
      <c r="B6696" s="6" t="s">
        <v>6655</v>
      </c>
    </row>
    <row r="6697" spans="1:2" x14ac:dyDescent="0.3">
      <c r="A6697" s="7" t="str">
        <f>HYPERLINK("http://www.eatonpowersource.com/products/configure/industrial%20valves/details/846an00385a","846AN00385A")</f>
        <v>846AN00385A</v>
      </c>
      <c r="B6697" s="8" t="s">
        <v>6656</v>
      </c>
    </row>
    <row r="6698" spans="1:2" x14ac:dyDescent="0.3">
      <c r="A6698" s="5" t="str">
        <f>HYPERLINK("http://www.eatonpowersource.com/products/configure/industrial%20valves/details/846an00386a","846AN00386A")</f>
        <v>846AN00386A</v>
      </c>
      <c r="B6698" s="6" t="s">
        <v>6657</v>
      </c>
    </row>
    <row r="6699" spans="1:2" x14ac:dyDescent="0.3">
      <c r="A6699" s="7" t="str">
        <f>HYPERLINK("http://www.eatonpowersource.com/products/configure/industrial%20valves/details/846an00387a","846AN00387A")</f>
        <v>846AN00387A</v>
      </c>
      <c r="B6699" s="8" t="s">
        <v>6658</v>
      </c>
    </row>
    <row r="6700" spans="1:2" x14ac:dyDescent="0.3">
      <c r="A6700" s="5" t="str">
        <f>HYPERLINK("http://www.eatonpowersource.com/products/configure/industrial%20valves/details/846an00388a","846AN00388A")</f>
        <v>846AN00388A</v>
      </c>
      <c r="B6700" s="6" t="s">
        <v>6659</v>
      </c>
    </row>
    <row r="6701" spans="1:2" x14ac:dyDescent="0.3">
      <c r="A6701" s="7" t="str">
        <f>HYPERLINK("http://www.eatonpowersource.com/products/configure/industrial%20valves/details/846an00389a","846AN00389A")</f>
        <v>846AN00389A</v>
      </c>
      <c r="B6701" s="8" t="s">
        <v>6660</v>
      </c>
    </row>
    <row r="6702" spans="1:2" x14ac:dyDescent="0.3">
      <c r="A6702" s="5" t="str">
        <f>HYPERLINK("http://www.eatonpowersource.com/products/configure/industrial%20valves/details/846an00393a","846AN00393A")</f>
        <v>846AN00393A</v>
      </c>
      <c r="B6702" s="6" t="s">
        <v>6661</v>
      </c>
    </row>
    <row r="6703" spans="1:2" x14ac:dyDescent="0.3">
      <c r="A6703" s="7" t="str">
        <f>HYPERLINK("http://www.eatonpowersource.com/products/configure/industrial%20valves/details/846an00394a","846AN00394A")</f>
        <v>846AN00394A</v>
      </c>
      <c r="B6703" s="8" t="s">
        <v>6662</v>
      </c>
    </row>
    <row r="6704" spans="1:2" x14ac:dyDescent="0.3">
      <c r="A6704" s="5" t="str">
        <f>HYPERLINK("http://www.eatonpowersource.com/products/configure/industrial%20valves/details/846an00395a","846AN00395A")</f>
        <v>846AN00395A</v>
      </c>
      <c r="B6704" s="6" t="s">
        <v>6663</v>
      </c>
    </row>
    <row r="6705" spans="1:2" x14ac:dyDescent="0.3">
      <c r="A6705" s="7" t="str">
        <f>HYPERLINK("http://www.eatonpowersource.com/products/configure/industrial%20valves/details/846an00396a","846AN00396A")</f>
        <v>846AN00396A</v>
      </c>
      <c r="B6705" s="8" t="s">
        <v>6664</v>
      </c>
    </row>
    <row r="6706" spans="1:2" x14ac:dyDescent="0.3">
      <c r="A6706" s="5" t="str">
        <f>HYPERLINK("http://www.eatonpowersource.com/products/configure/industrial%20valves/details/847an00001a","847AN00001A")</f>
        <v>847AN00001A</v>
      </c>
      <c r="B6706" s="6" t="s">
        <v>6665</v>
      </c>
    </row>
    <row r="6707" spans="1:2" x14ac:dyDescent="0.3">
      <c r="A6707" s="7" t="str">
        <f>HYPERLINK("http://www.eatonpowersource.com/products/configure/industrial%20valves/details/847an00002a","847AN00002A")</f>
        <v>847AN00002A</v>
      </c>
      <c r="B6707" s="8" t="s">
        <v>6666</v>
      </c>
    </row>
    <row r="6708" spans="1:2" x14ac:dyDescent="0.3">
      <c r="A6708" s="5" t="str">
        <f>HYPERLINK("http://www.eatonpowersource.com/products/configure/industrial%20valves/details/847an00003a","847AN00003A")</f>
        <v>847AN00003A</v>
      </c>
      <c r="B6708" s="6" t="s">
        <v>6667</v>
      </c>
    </row>
    <row r="6709" spans="1:2" x14ac:dyDescent="0.3">
      <c r="A6709" s="7" t="str">
        <f>HYPERLINK("http://www.eatonpowersource.com/products/configure/industrial%20valves/details/847an00004a","847AN00004A")</f>
        <v>847AN00004A</v>
      </c>
      <c r="B6709" s="8" t="s">
        <v>6668</v>
      </c>
    </row>
    <row r="6710" spans="1:2" x14ac:dyDescent="0.3">
      <c r="A6710" s="5" t="str">
        <f>HYPERLINK("http://www.eatonpowersource.com/products/configure/industrial%20valves/details/847an00005a","847AN00005A")</f>
        <v>847AN00005A</v>
      </c>
      <c r="B6710" s="6" t="s">
        <v>6669</v>
      </c>
    </row>
    <row r="6711" spans="1:2" x14ac:dyDescent="0.3">
      <c r="A6711" s="7" t="str">
        <f>HYPERLINK("http://www.eatonpowersource.com/products/configure/industrial%20valves/details/847an00006a","847AN00006A")</f>
        <v>847AN00006A</v>
      </c>
      <c r="B6711" s="8" t="s">
        <v>6670</v>
      </c>
    </row>
    <row r="6712" spans="1:2" x14ac:dyDescent="0.3">
      <c r="A6712" s="5" t="str">
        <f>HYPERLINK("http://www.eatonpowersource.com/products/configure/industrial%20valves/details/847an00007a","847AN00007A")</f>
        <v>847AN00007A</v>
      </c>
      <c r="B6712" s="6" t="s">
        <v>6671</v>
      </c>
    </row>
    <row r="6713" spans="1:2" x14ac:dyDescent="0.3">
      <c r="A6713" s="7" t="str">
        <f>HYPERLINK("http://www.eatonpowersource.com/products/configure/industrial%20valves/details/847an00008a","847AN00008A")</f>
        <v>847AN00008A</v>
      </c>
      <c r="B6713" s="8" t="s">
        <v>6672</v>
      </c>
    </row>
    <row r="6714" spans="1:2" x14ac:dyDescent="0.3">
      <c r="A6714" s="5" t="str">
        <f>HYPERLINK("http://www.eatonpowersource.com/products/configure/industrial%20valves/details/847an00009a","847AN00009A")</f>
        <v>847AN00009A</v>
      </c>
      <c r="B6714" s="6" t="s">
        <v>6673</v>
      </c>
    </row>
    <row r="6715" spans="1:2" x14ac:dyDescent="0.3">
      <c r="A6715" s="7" t="str">
        <f>HYPERLINK("http://www.eatonpowersource.com/products/configure/industrial%20valves/details/847an00010a","847AN00010A")</f>
        <v>847AN00010A</v>
      </c>
      <c r="B6715" s="8" t="s">
        <v>6674</v>
      </c>
    </row>
    <row r="6716" spans="1:2" x14ac:dyDescent="0.3">
      <c r="A6716" s="5" t="str">
        <f>HYPERLINK("http://www.eatonpowersource.com/products/configure/industrial%20valves/details/847an00011a","847AN00011A")</f>
        <v>847AN00011A</v>
      </c>
      <c r="B6716" s="6" t="s">
        <v>6675</v>
      </c>
    </row>
    <row r="6717" spans="1:2" x14ac:dyDescent="0.3">
      <c r="A6717" s="7" t="str">
        <f>HYPERLINK("http://www.eatonpowersource.com/products/configure/industrial%20valves/details/847an00012a","847AN00012A")</f>
        <v>847AN00012A</v>
      </c>
      <c r="B6717" s="8" t="s">
        <v>6676</v>
      </c>
    </row>
    <row r="6718" spans="1:2" x14ac:dyDescent="0.3">
      <c r="A6718" s="5" t="str">
        <f>HYPERLINK("http://www.eatonpowersource.com/products/configure/industrial%20valves/details/847an00013a","847AN00013A")</f>
        <v>847AN00013A</v>
      </c>
      <c r="B6718" s="6" t="s">
        <v>6677</v>
      </c>
    </row>
    <row r="6719" spans="1:2" x14ac:dyDescent="0.3">
      <c r="A6719" s="7" t="str">
        <f>HYPERLINK("http://www.eatonpowersource.com/products/configure/industrial%20valves/details/847an00014a","847AN00014A")</f>
        <v>847AN00014A</v>
      </c>
      <c r="B6719" s="8" t="s">
        <v>6678</v>
      </c>
    </row>
    <row r="6720" spans="1:2" x14ac:dyDescent="0.3">
      <c r="A6720" s="5" t="str">
        <f>HYPERLINK("http://www.eatonpowersource.com/products/configure/industrial%20valves/details/847an00015a","847AN00015A")</f>
        <v>847AN00015A</v>
      </c>
      <c r="B6720" s="6" t="s">
        <v>6679</v>
      </c>
    </row>
    <row r="6721" spans="1:2" x14ac:dyDescent="0.3">
      <c r="A6721" s="7" t="str">
        <f>HYPERLINK("http://www.eatonpowersource.com/products/configure/industrial%20valves/details/847an00016a","847AN00016A")</f>
        <v>847AN00016A</v>
      </c>
      <c r="B6721" s="8" t="s">
        <v>6680</v>
      </c>
    </row>
    <row r="6722" spans="1:2" x14ac:dyDescent="0.3">
      <c r="A6722" s="5" t="str">
        <f>HYPERLINK("http://www.eatonpowersource.com/products/configure/industrial%20valves/details/847an00017a","847AN00017A")</f>
        <v>847AN00017A</v>
      </c>
      <c r="B6722" s="6" t="s">
        <v>6681</v>
      </c>
    </row>
    <row r="6723" spans="1:2" x14ac:dyDescent="0.3">
      <c r="A6723" s="7" t="str">
        <f>HYPERLINK("http://www.eatonpowersource.com/products/configure/industrial%20valves/details/847an00018a","847AN00018A")</f>
        <v>847AN00018A</v>
      </c>
      <c r="B6723" s="8" t="s">
        <v>6682</v>
      </c>
    </row>
    <row r="6724" spans="1:2" x14ac:dyDescent="0.3">
      <c r="A6724" s="5" t="str">
        <f>HYPERLINK("http://www.eatonpowersource.com/products/configure/industrial%20valves/details/847an00019a","847AN00019A")</f>
        <v>847AN00019A</v>
      </c>
      <c r="B6724" s="6" t="s">
        <v>6683</v>
      </c>
    </row>
    <row r="6725" spans="1:2" x14ac:dyDescent="0.3">
      <c r="A6725" s="7" t="str">
        <f>HYPERLINK("http://www.eatonpowersource.com/products/configure/industrial%20valves/details/847an00020a","847AN00020A")</f>
        <v>847AN00020A</v>
      </c>
      <c r="B6725" s="8" t="s">
        <v>6684</v>
      </c>
    </row>
    <row r="6726" spans="1:2" x14ac:dyDescent="0.3">
      <c r="A6726" s="5" t="str">
        <f>HYPERLINK("http://www.eatonpowersource.com/products/configure/industrial%20valves/details/847an00021a","847AN00021A")</f>
        <v>847AN00021A</v>
      </c>
      <c r="B6726" s="6" t="s">
        <v>6685</v>
      </c>
    </row>
    <row r="6727" spans="1:2" x14ac:dyDescent="0.3">
      <c r="A6727" s="7" t="str">
        <f>HYPERLINK("http://www.eatonpowersource.com/products/configure/industrial%20valves/details/847an00024a","847AN00024A")</f>
        <v>847AN00024A</v>
      </c>
      <c r="B6727" s="8" t="s">
        <v>6686</v>
      </c>
    </row>
    <row r="6728" spans="1:2" x14ac:dyDescent="0.3">
      <c r="A6728" s="5" t="str">
        <f>HYPERLINK("http://www.eatonpowersource.com/products/configure/industrial%20valves/details/847an00025a","847AN00025A")</f>
        <v>847AN00025A</v>
      </c>
      <c r="B6728" s="6" t="s">
        <v>6687</v>
      </c>
    </row>
    <row r="6729" spans="1:2" x14ac:dyDescent="0.3">
      <c r="A6729" s="7" t="str">
        <f>HYPERLINK("http://www.eatonpowersource.com/products/configure/industrial%20valves/details/847an00026a","847AN00026A")</f>
        <v>847AN00026A</v>
      </c>
      <c r="B6729" s="8" t="s">
        <v>6688</v>
      </c>
    </row>
    <row r="6730" spans="1:2" x14ac:dyDescent="0.3">
      <c r="A6730" s="5" t="str">
        <f>HYPERLINK("http://www.eatonpowersource.com/products/configure/industrial%20valves/details/847an00028a","847AN00028A")</f>
        <v>847AN00028A</v>
      </c>
      <c r="B6730" s="6" t="s">
        <v>6689</v>
      </c>
    </row>
    <row r="6731" spans="1:2" x14ac:dyDescent="0.3">
      <c r="A6731" s="7" t="str">
        <f>HYPERLINK("http://www.eatonpowersource.com/products/configure/industrial%20valves/details/847an00029a","847AN00029A")</f>
        <v>847AN00029A</v>
      </c>
      <c r="B6731" s="8" t="s">
        <v>6690</v>
      </c>
    </row>
    <row r="6732" spans="1:2" x14ac:dyDescent="0.3">
      <c r="A6732" s="5" t="str">
        <f>HYPERLINK("http://www.eatonpowersource.com/products/configure/industrial%20valves/details/847an00030a","847AN00030A")</f>
        <v>847AN00030A</v>
      </c>
      <c r="B6732" s="6" t="s">
        <v>6691</v>
      </c>
    </row>
    <row r="6733" spans="1:2" x14ac:dyDescent="0.3">
      <c r="A6733" s="7" t="str">
        <f>HYPERLINK("http://www.eatonpowersource.com/products/configure/industrial%20valves/details/847an00032a","847AN00032A")</f>
        <v>847AN00032A</v>
      </c>
      <c r="B6733" s="8" t="s">
        <v>6692</v>
      </c>
    </row>
    <row r="6734" spans="1:2" x14ac:dyDescent="0.3">
      <c r="A6734" s="5" t="str">
        <f>HYPERLINK("http://www.eatonpowersource.com/products/configure/industrial%20valves/details/847an00033a","847AN00033A")</f>
        <v>847AN00033A</v>
      </c>
      <c r="B6734" s="6" t="s">
        <v>6693</v>
      </c>
    </row>
    <row r="6735" spans="1:2" x14ac:dyDescent="0.3">
      <c r="A6735" s="7" t="str">
        <f>HYPERLINK("http://www.eatonpowersource.com/products/configure/industrial%20valves/details/847an00034a","847AN00034A")</f>
        <v>847AN00034A</v>
      </c>
      <c r="B6735" s="8" t="s">
        <v>6694</v>
      </c>
    </row>
    <row r="6736" spans="1:2" x14ac:dyDescent="0.3">
      <c r="A6736" s="5" t="str">
        <f>HYPERLINK("http://www.eatonpowersource.com/products/configure/industrial%20valves/details/847an00035a","847AN00035A")</f>
        <v>847AN00035A</v>
      </c>
      <c r="B6736" s="6" t="s">
        <v>6695</v>
      </c>
    </row>
    <row r="6737" spans="1:2" x14ac:dyDescent="0.3">
      <c r="A6737" s="7" t="str">
        <f>HYPERLINK("http://www.eatonpowersource.com/products/configure/industrial%20valves/details/847an00036a","847AN00036A")</f>
        <v>847AN00036A</v>
      </c>
      <c r="B6737" s="8" t="s">
        <v>6696</v>
      </c>
    </row>
    <row r="6738" spans="1:2" x14ac:dyDescent="0.3">
      <c r="A6738" s="5" t="str">
        <f>HYPERLINK("http://www.eatonpowersource.com/products/configure/industrial%20valves/details/847an00037a","847AN00037A")</f>
        <v>847AN00037A</v>
      </c>
      <c r="B6738" s="6" t="s">
        <v>6697</v>
      </c>
    </row>
    <row r="6739" spans="1:2" x14ac:dyDescent="0.3">
      <c r="A6739" s="7" t="str">
        <f>HYPERLINK("http://www.eatonpowersource.com/products/configure/industrial%20valves/details/847an00038a","847AN00038A")</f>
        <v>847AN00038A</v>
      </c>
      <c r="B6739" s="8" t="s">
        <v>6698</v>
      </c>
    </row>
    <row r="6740" spans="1:2" x14ac:dyDescent="0.3">
      <c r="A6740" s="5" t="str">
        <f>HYPERLINK("http://www.eatonpowersource.com/products/configure/industrial%20valves/details/847an00040a","847AN00040A")</f>
        <v>847AN00040A</v>
      </c>
      <c r="B6740" s="6" t="s">
        <v>6699</v>
      </c>
    </row>
    <row r="6741" spans="1:2" x14ac:dyDescent="0.3">
      <c r="A6741" s="7" t="str">
        <f>HYPERLINK("http://www.eatonpowersource.com/products/configure/industrial%20valves/details/847an00041a","847AN00041A")</f>
        <v>847AN00041A</v>
      </c>
      <c r="B6741" s="8" t="s">
        <v>6700</v>
      </c>
    </row>
    <row r="6742" spans="1:2" x14ac:dyDescent="0.3">
      <c r="A6742" s="5" t="str">
        <f>HYPERLINK("http://www.eatonpowersource.com/products/configure/industrial%20valves/details/847an00042a","847AN00042A")</f>
        <v>847AN00042A</v>
      </c>
      <c r="B6742" s="6" t="s">
        <v>6701</v>
      </c>
    </row>
    <row r="6743" spans="1:2" x14ac:dyDescent="0.3">
      <c r="A6743" s="7" t="str">
        <f>HYPERLINK("http://www.eatonpowersource.com/products/configure/industrial%20valves/details/847an00043a","847AN00043A")</f>
        <v>847AN00043A</v>
      </c>
      <c r="B6743" s="8" t="s">
        <v>6702</v>
      </c>
    </row>
    <row r="6744" spans="1:2" x14ac:dyDescent="0.3">
      <c r="A6744" s="5" t="str">
        <f>HYPERLINK("http://www.eatonpowersource.com/products/configure/industrial%20valves/details/847an00045a","847AN00045A")</f>
        <v>847AN00045A</v>
      </c>
      <c r="B6744" s="6" t="s">
        <v>6703</v>
      </c>
    </row>
    <row r="6745" spans="1:2" x14ac:dyDescent="0.3">
      <c r="A6745" s="7" t="str">
        <f>HYPERLINK("http://www.eatonpowersource.com/products/configure/industrial%20valves/details/847an00046a","847AN00046A")</f>
        <v>847AN00046A</v>
      </c>
      <c r="B6745" s="8" t="s">
        <v>6704</v>
      </c>
    </row>
    <row r="6746" spans="1:2" x14ac:dyDescent="0.3">
      <c r="A6746" s="5" t="str">
        <f>HYPERLINK("http://www.eatonpowersource.com/products/configure/industrial%20valves/details/847an00047a","847AN00047A")</f>
        <v>847AN00047A</v>
      </c>
      <c r="B6746" s="6" t="s">
        <v>6705</v>
      </c>
    </row>
    <row r="6747" spans="1:2" x14ac:dyDescent="0.3">
      <c r="A6747" s="7" t="str">
        <f>HYPERLINK("http://www.eatonpowersource.com/products/configure/industrial%20valves/details/847an00048a","847AN00048A")</f>
        <v>847AN00048A</v>
      </c>
      <c r="B6747" s="8" t="s">
        <v>6706</v>
      </c>
    </row>
    <row r="6748" spans="1:2" x14ac:dyDescent="0.3">
      <c r="A6748" s="5" t="str">
        <f>HYPERLINK("http://www.eatonpowersource.com/products/configure/industrial%20valves/details/847an00049a","847AN00049A")</f>
        <v>847AN00049A</v>
      </c>
      <c r="B6748" s="6" t="s">
        <v>6707</v>
      </c>
    </row>
    <row r="6749" spans="1:2" x14ac:dyDescent="0.3">
      <c r="A6749" s="7" t="str">
        <f>HYPERLINK("http://www.eatonpowersource.com/products/configure/industrial%20valves/details/847an00050a","847AN00050A")</f>
        <v>847AN00050A</v>
      </c>
      <c r="B6749" s="8" t="s">
        <v>6708</v>
      </c>
    </row>
    <row r="6750" spans="1:2" x14ac:dyDescent="0.3">
      <c r="A6750" s="5" t="str">
        <f>HYPERLINK("http://www.eatonpowersource.com/products/configure/industrial%20valves/details/847an00051a","847AN00051A")</f>
        <v>847AN00051A</v>
      </c>
      <c r="B6750" s="6" t="s">
        <v>6709</v>
      </c>
    </row>
    <row r="6751" spans="1:2" x14ac:dyDescent="0.3">
      <c r="A6751" s="7" t="str">
        <f>HYPERLINK("http://www.eatonpowersource.com/products/configure/industrial%20valves/details/847an00052a","847AN00052A")</f>
        <v>847AN00052A</v>
      </c>
      <c r="B6751" s="8" t="s">
        <v>6710</v>
      </c>
    </row>
    <row r="6752" spans="1:2" x14ac:dyDescent="0.3">
      <c r="A6752" s="5" t="str">
        <f>HYPERLINK("http://www.eatonpowersource.com/products/configure/industrial%20valves/details/847an00053a","847AN00053A")</f>
        <v>847AN00053A</v>
      </c>
      <c r="B6752" s="6" t="s">
        <v>6711</v>
      </c>
    </row>
    <row r="6753" spans="1:2" x14ac:dyDescent="0.3">
      <c r="A6753" s="7" t="str">
        <f>HYPERLINK("http://www.eatonpowersource.com/products/configure/industrial%20valves/details/847an00054a","847AN00054A")</f>
        <v>847AN00054A</v>
      </c>
      <c r="B6753" s="8" t="s">
        <v>6712</v>
      </c>
    </row>
    <row r="6754" spans="1:2" x14ac:dyDescent="0.3">
      <c r="A6754" s="5" t="str">
        <f>HYPERLINK("http://www.eatonpowersource.com/products/configure/industrial%20valves/details/847an00056a","847AN00056A")</f>
        <v>847AN00056A</v>
      </c>
      <c r="B6754" s="6" t="s">
        <v>6713</v>
      </c>
    </row>
    <row r="6755" spans="1:2" x14ac:dyDescent="0.3">
      <c r="A6755" s="7" t="str">
        <f>HYPERLINK("http://www.eatonpowersource.com/products/configure/industrial%20valves/details/847an00057a","847AN00057A")</f>
        <v>847AN00057A</v>
      </c>
      <c r="B6755" s="8" t="s">
        <v>6714</v>
      </c>
    </row>
    <row r="6756" spans="1:2" x14ac:dyDescent="0.3">
      <c r="A6756" s="5" t="str">
        <f>HYPERLINK("http://www.eatonpowersource.com/products/configure/industrial%20valves/details/847an00058a","847AN00058A")</f>
        <v>847AN00058A</v>
      </c>
      <c r="B6756" s="6" t="s">
        <v>6715</v>
      </c>
    </row>
    <row r="6757" spans="1:2" x14ac:dyDescent="0.3">
      <c r="A6757" s="7" t="str">
        <f>HYPERLINK("http://www.eatonpowersource.com/products/configure/industrial%20valves/details/847an00059a","847AN00059A")</f>
        <v>847AN00059A</v>
      </c>
      <c r="B6757" s="8" t="s">
        <v>6716</v>
      </c>
    </row>
    <row r="6758" spans="1:2" x14ac:dyDescent="0.3">
      <c r="A6758" s="5" t="str">
        <f>HYPERLINK("http://www.eatonpowersource.com/products/configure/industrial%20valves/details/847an00061a","847AN00061A")</f>
        <v>847AN00061A</v>
      </c>
      <c r="B6758" s="6" t="s">
        <v>6717</v>
      </c>
    </row>
    <row r="6759" spans="1:2" x14ac:dyDescent="0.3">
      <c r="A6759" s="7" t="str">
        <f>HYPERLINK("http://www.eatonpowersource.com/products/configure/industrial%20valves/details/847an00062a","847AN00062A")</f>
        <v>847AN00062A</v>
      </c>
      <c r="B6759" s="8" t="s">
        <v>6718</v>
      </c>
    </row>
    <row r="6760" spans="1:2" x14ac:dyDescent="0.3">
      <c r="A6760" s="5" t="str">
        <f>HYPERLINK("http://www.eatonpowersource.com/products/configure/industrial%20valves/details/847an00064a","847AN00064A")</f>
        <v>847AN00064A</v>
      </c>
      <c r="B6760" s="6" t="s">
        <v>6719</v>
      </c>
    </row>
    <row r="6761" spans="1:2" x14ac:dyDescent="0.3">
      <c r="A6761" s="7" t="str">
        <f>HYPERLINK("http://www.eatonpowersource.com/products/configure/industrial%20valves/details/847an00065a","847AN00065A")</f>
        <v>847AN00065A</v>
      </c>
      <c r="B6761" s="8" t="s">
        <v>6720</v>
      </c>
    </row>
    <row r="6762" spans="1:2" x14ac:dyDescent="0.3">
      <c r="A6762" s="5" t="str">
        <f>HYPERLINK("http://www.eatonpowersource.com/products/configure/industrial%20valves/details/847an00066a","847AN00066A")</f>
        <v>847AN00066A</v>
      </c>
      <c r="B6762" s="6" t="s">
        <v>6721</v>
      </c>
    </row>
    <row r="6763" spans="1:2" x14ac:dyDescent="0.3">
      <c r="A6763" s="7" t="str">
        <f>HYPERLINK("http://www.eatonpowersource.com/products/configure/industrial%20valves/details/847an00067a","847AN00067A")</f>
        <v>847AN00067A</v>
      </c>
      <c r="B6763" s="8" t="s">
        <v>6722</v>
      </c>
    </row>
    <row r="6764" spans="1:2" x14ac:dyDescent="0.3">
      <c r="A6764" s="5" t="str">
        <f>HYPERLINK("http://www.eatonpowersource.com/products/configure/industrial%20valves/details/847an00068a","847AN00068A")</f>
        <v>847AN00068A</v>
      </c>
      <c r="B6764" s="6" t="s">
        <v>6723</v>
      </c>
    </row>
    <row r="6765" spans="1:2" x14ac:dyDescent="0.3">
      <c r="A6765" s="7" t="str">
        <f>HYPERLINK("http://www.eatonpowersource.com/products/configure/industrial%20valves/details/847an00069a","847AN00069A")</f>
        <v>847AN00069A</v>
      </c>
      <c r="B6765" s="8" t="s">
        <v>6724</v>
      </c>
    </row>
    <row r="6766" spans="1:2" x14ac:dyDescent="0.3">
      <c r="A6766" s="5" t="str">
        <f>HYPERLINK("http://www.eatonpowersource.com/products/configure/industrial%20valves/details/847an00070a","847AN00070A")</f>
        <v>847AN00070A</v>
      </c>
      <c r="B6766" s="6" t="s">
        <v>6725</v>
      </c>
    </row>
    <row r="6767" spans="1:2" x14ac:dyDescent="0.3">
      <c r="A6767" s="7" t="str">
        <f>HYPERLINK("http://www.eatonpowersource.com/products/configure/industrial%20valves/details/847an00071a","847AN00071A")</f>
        <v>847AN00071A</v>
      </c>
      <c r="B6767" s="8" t="s">
        <v>6726</v>
      </c>
    </row>
    <row r="6768" spans="1:2" x14ac:dyDescent="0.3">
      <c r="A6768" s="5" t="str">
        <f>HYPERLINK("http://www.eatonpowersource.com/products/configure/industrial%20valves/details/847an00072a","847AN00072A")</f>
        <v>847AN00072A</v>
      </c>
      <c r="B6768" s="6" t="s">
        <v>6727</v>
      </c>
    </row>
    <row r="6769" spans="1:2" x14ac:dyDescent="0.3">
      <c r="A6769" s="7" t="str">
        <f>HYPERLINK("http://www.eatonpowersource.com/products/configure/industrial%20valves/details/847an00073a","847AN00073A")</f>
        <v>847AN00073A</v>
      </c>
      <c r="B6769" s="8" t="s">
        <v>6728</v>
      </c>
    </row>
    <row r="6770" spans="1:2" x14ac:dyDescent="0.3">
      <c r="A6770" s="5" t="str">
        <f>HYPERLINK("http://www.eatonpowersource.com/products/configure/industrial%20valves/details/847an00074a","847AN00074A")</f>
        <v>847AN00074A</v>
      </c>
      <c r="B6770" s="6" t="s">
        <v>6729</v>
      </c>
    </row>
    <row r="6771" spans="1:2" x14ac:dyDescent="0.3">
      <c r="A6771" s="7" t="str">
        <f>HYPERLINK("http://www.eatonpowersource.com/products/configure/industrial%20valves/details/847an00075a","847AN00075A")</f>
        <v>847AN00075A</v>
      </c>
      <c r="B6771" s="8" t="s">
        <v>6730</v>
      </c>
    </row>
    <row r="6772" spans="1:2" x14ac:dyDescent="0.3">
      <c r="A6772" s="5" t="str">
        <f>HYPERLINK("http://www.eatonpowersource.com/products/configure/industrial%20valves/details/847an00076a","847AN00076A")</f>
        <v>847AN00076A</v>
      </c>
      <c r="B6772" s="6" t="s">
        <v>6731</v>
      </c>
    </row>
    <row r="6773" spans="1:2" x14ac:dyDescent="0.3">
      <c r="A6773" s="7" t="str">
        <f>HYPERLINK("http://www.eatonpowersource.com/products/configure/industrial%20valves/details/847an00077a","847AN00077A")</f>
        <v>847AN00077A</v>
      </c>
      <c r="B6773" s="8" t="s">
        <v>6732</v>
      </c>
    </row>
    <row r="6774" spans="1:2" x14ac:dyDescent="0.3">
      <c r="A6774" s="5" t="str">
        <f>HYPERLINK("http://www.eatonpowersource.com/products/configure/industrial%20valves/details/847an00078a","847AN00078A")</f>
        <v>847AN00078A</v>
      </c>
      <c r="B6774" s="6" t="s">
        <v>6733</v>
      </c>
    </row>
    <row r="6775" spans="1:2" x14ac:dyDescent="0.3">
      <c r="A6775" s="7" t="str">
        <f>HYPERLINK("http://www.eatonpowersource.com/products/configure/industrial%20valves/details/847an00079a","847AN00079A")</f>
        <v>847AN00079A</v>
      </c>
      <c r="B6775" s="8" t="s">
        <v>6734</v>
      </c>
    </row>
    <row r="6776" spans="1:2" x14ac:dyDescent="0.3">
      <c r="A6776" s="5" t="str">
        <f>HYPERLINK("http://www.eatonpowersource.com/products/configure/industrial%20valves/details/847an00081a","847AN00081A")</f>
        <v>847AN00081A</v>
      </c>
      <c r="B6776" s="6" t="s">
        <v>6735</v>
      </c>
    </row>
    <row r="6777" spans="1:2" x14ac:dyDescent="0.3">
      <c r="A6777" s="7" t="str">
        <f>HYPERLINK("http://www.eatonpowersource.com/products/configure/industrial%20valves/details/847an00082a","847AN00082A")</f>
        <v>847AN00082A</v>
      </c>
      <c r="B6777" s="8" t="s">
        <v>6736</v>
      </c>
    </row>
    <row r="6778" spans="1:2" x14ac:dyDescent="0.3">
      <c r="A6778" s="5" t="str">
        <f>HYPERLINK("http://www.eatonpowersource.com/products/configure/industrial%20valves/details/847an00083a","847AN00083A")</f>
        <v>847AN00083A</v>
      </c>
      <c r="B6778" s="6" t="s">
        <v>6737</v>
      </c>
    </row>
    <row r="6779" spans="1:2" x14ac:dyDescent="0.3">
      <c r="A6779" s="7" t="str">
        <f>HYPERLINK("http://www.eatonpowersource.com/products/configure/industrial%20valves/details/847an00084a","847AN00084A")</f>
        <v>847AN00084A</v>
      </c>
      <c r="B6779" s="8" t="s">
        <v>6738</v>
      </c>
    </row>
    <row r="6780" spans="1:2" x14ac:dyDescent="0.3">
      <c r="A6780" s="5" t="str">
        <f>HYPERLINK("http://www.eatonpowersource.com/products/configure/industrial%20valves/details/847an00087a","847AN00087A")</f>
        <v>847AN00087A</v>
      </c>
      <c r="B6780" s="6" t="s">
        <v>6739</v>
      </c>
    </row>
    <row r="6781" spans="1:2" x14ac:dyDescent="0.3">
      <c r="A6781" s="7" t="str">
        <f>HYPERLINK("http://www.eatonpowersource.com/products/configure/industrial%20valves/details/847an00088a","847AN00088A")</f>
        <v>847AN00088A</v>
      </c>
      <c r="B6781" s="8" t="s">
        <v>6740</v>
      </c>
    </row>
    <row r="6782" spans="1:2" x14ac:dyDescent="0.3">
      <c r="A6782" s="5" t="str">
        <f>HYPERLINK("http://www.eatonpowersource.com/products/configure/industrial%20valves/details/847an00089a","847AN00089A")</f>
        <v>847AN00089A</v>
      </c>
      <c r="B6782" s="6" t="s">
        <v>6741</v>
      </c>
    </row>
    <row r="6783" spans="1:2" x14ac:dyDescent="0.3">
      <c r="A6783" s="7" t="str">
        <f>HYPERLINK("http://www.eatonpowersource.com/products/configure/industrial%20valves/details/847an00090a","847AN00090A")</f>
        <v>847AN00090A</v>
      </c>
      <c r="B6783" s="8" t="s">
        <v>6742</v>
      </c>
    </row>
    <row r="6784" spans="1:2" x14ac:dyDescent="0.3">
      <c r="A6784" s="5" t="str">
        <f>HYPERLINK("http://www.eatonpowersource.com/products/configure/industrial%20valves/details/847an00091a","847AN00091A")</f>
        <v>847AN00091A</v>
      </c>
      <c r="B6784" s="6" t="s">
        <v>6743</v>
      </c>
    </row>
    <row r="6785" spans="1:2" x14ac:dyDescent="0.3">
      <c r="A6785" s="7" t="str">
        <f>HYPERLINK("http://www.eatonpowersource.com/products/configure/industrial%20valves/details/847an00093a","847AN00093A")</f>
        <v>847AN00093A</v>
      </c>
      <c r="B6785" s="8" t="s">
        <v>6744</v>
      </c>
    </row>
    <row r="6786" spans="1:2" x14ac:dyDescent="0.3">
      <c r="A6786" s="5" t="str">
        <f>HYPERLINK("http://www.eatonpowersource.com/products/configure/industrial%20valves/details/847an00094a","847AN00094A")</f>
        <v>847AN00094A</v>
      </c>
      <c r="B6786" s="6" t="s">
        <v>6745</v>
      </c>
    </row>
    <row r="6787" spans="1:2" x14ac:dyDescent="0.3">
      <c r="A6787" s="7" t="str">
        <f>HYPERLINK("http://www.eatonpowersource.com/products/configure/industrial%20valves/details/847an00095a","847AN00095A")</f>
        <v>847AN00095A</v>
      </c>
      <c r="B6787" s="8" t="s">
        <v>6746</v>
      </c>
    </row>
    <row r="6788" spans="1:2" x14ac:dyDescent="0.3">
      <c r="A6788" s="5" t="str">
        <f>HYPERLINK("http://www.eatonpowersource.com/products/configure/industrial%20valves/details/847an00096a","847AN00096A")</f>
        <v>847AN00096A</v>
      </c>
      <c r="B6788" s="6" t="s">
        <v>6747</v>
      </c>
    </row>
    <row r="6789" spans="1:2" x14ac:dyDescent="0.3">
      <c r="A6789" s="7" t="str">
        <f>HYPERLINK("http://www.eatonpowersource.com/products/configure/industrial%20valves/details/847an00097a","847AN00097A")</f>
        <v>847AN00097A</v>
      </c>
      <c r="B6789" s="8" t="s">
        <v>6748</v>
      </c>
    </row>
    <row r="6790" spans="1:2" x14ac:dyDescent="0.3">
      <c r="A6790" s="5" t="str">
        <f>HYPERLINK("http://www.eatonpowersource.com/products/configure/industrial%20valves/details/847an00098a","847AN00098A")</f>
        <v>847AN00098A</v>
      </c>
      <c r="B6790" s="6" t="s">
        <v>6749</v>
      </c>
    </row>
    <row r="6791" spans="1:2" x14ac:dyDescent="0.3">
      <c r="A6791" s="7" t="str">
        <f>HYPERLINK("http://www.eatonpowersource.com/products/configure/industrial%20valves/details/847an00100a","847AN00100A")</f>
        <v>847AN00100A</v>
      </c>
      <c r="B6791" s="8" t="s">
        <v>6750</v>
      </c>
    </row>
    <row r="6792" spans="1:2" x14ac:dyDescent="0.3">
      <c r="A6792" s="5" t="str">
        <f>HYPERLINK("http://www.eatonpowersource.com/products/configure/industrial%20valves/details/847an00102a","847AN00102A")</f>
        <v>847AN00102A</v>
      </c>
      <c r="B6792" s="6" t="s">
        <v>6751</v>
      </c>
    </row>
    <row r="6793" spans="1:2" x14ac:dyDescent="0.3">
      <c r="A6793" s="7" t="str">
        <f>HYPERLINK("http://www.eatonpowersource.com/products/configure/industrial%20valves/details/847an00104a","847AN00104A")</f>
        <v>847AN00104A</v>
      </c>
      <c r="B6793" s="8" t="s">
        <v>6752</v>
      </c>
    </row>
    <row r="6794" spans="1:2" x14ac:dyDescent="0.3">
      <c r="A6794" s="5" t="str">
        <f>HYPERLINK("http://www.eatonpowersource.com/products/configure/industrial%20valves/details/847an00105a","847AN00105A")</f>
        <v>847AN00105A</v>
      </c>
      <c r="B6794" s="6" t="s">
        <v>6753</v>
      </c>
    </row>
    <row r="6795" spans="1:2" x14ac:dyDescent="0.3">
      <c r="A6795" s="7" t="str">
        <f>HYPERLINK("http://www.eatonpowersource.com/products/configure/industrial%20valves/details/847an00106a","847AN00106A")</f>
        <v>847AN00106A</v>
      </c>
      <c r="B6795" s="8" t="s">
        <v>6754</v>
      </c>
    </row>
    <row r="6796" spans="1:2" x14ac:dyDescent="0.3">
      <c r="A6796" s="5" t="str">
        <f>HYPERLINK("http://www.eatonpowersource.com/products/configure/industrial%20valves/details/847an00107a","847AN00107A")</f>
        <v>847AN00107A</v>
      </c>
      <c r="B6796" s="6" t="s">
        <v>6755</v>
      </c>
    </row>
    <row r="6797" spans="1:2" x14ac:dyDescent="0.3">
      <c r="A6797" s="7" t="str">
        <f>HYPERLINK("http://www.eatonpowersource.com/products/configure/industrial%20valves/details/847an00108a","847AN00108A")</f>
        <v>847AN00108A</v>
      </c>
      <c r="B6797" s="8" t="s">
        <v>6756</v>
      </c>
    </row>
    <row r="6798" spans="1:2" x14ac:dyDescent="0.3">
      <c r="A6798" s="5" t="str">
        <f>HYPERLINK("http://www.eatonpowersource.com/products/configure/industrial%20valves/details/847an00110a","847AN00110A")</f>
        <v>847AN00110A</v>
      </c>
      <c r="B6798" s="6" t="s">
        <v>6757</v>
      </c>
    </row>
    <row r="6799" spans="1:2" x14ac:dyDescent="0.3">
      <c r="A6799" s="7" t="str">
        <f>HYPERLINK("http://www.eatonpowersource.com/products/configure/industrial%20valves/details/847an00111a","847AN00111A")</f>
        <v>847AN00111A</v>
      </c>
      <c r="B6799" s="8" t="s">
        <v>6758</v>
      </c>
    </row>
    <row r="6800" spans="1:2" x14ac:dyDescent="0.3">
      <c r="A6800" s="5" t="str">
        <f>HYPERLINK("http://www.eatonpowersource.com/products/configure/industrial%20valves/details/847an00112a","847AN00112A")</f>
        <v>847AN00112A</v>
      </c>
      <c r="B6800" s="6" t="s">
        <v>6759</v>
      </c>
    </row>
    <row r="6801" spans="1:2" x14ac:dyDescent="0.3">
      <c r="A6801" s="7" t="str">
        <f>HYPERLINK("http://www.eatonpowersource.com/products/configure/industrial%20valves/details/847an00113a","847AN00113A")</f>
        <v>847AN00113A</v>
      </c>
      <c r="B6801" s="8" t="s">
        <v>6760</v>
      </c>
    </row>
    <row r="6802" spans="1:2" x14ac:dyDescent="0.3">
      <c r="A6802" s="5" t="str">
        <f>HYPERLINK("http://www.eatonpowersource.com/products/configure/industrial%20valves/details/847an00115a","847AN00115A")</f>
        <v>847AN00115A</v>
      </c>
      <c r="B6802" s="6" t="s">
        <v>6761</v>
      </c>
    </row>
    <row r="6803" spans="1:2" x14ac:dyDescent="0.3">
      <c r="A6803" s="7" t="str">
        <f>HYPERLINK("http://www.eatonpowersource.com/products/configure/industrial%20valves/details/847an00116a","847AN00116A")</f>
        <v>847AN00116A</v>
      </c>
      <c r="B6803" s="8" t="s">
        <v>6762</v>
      </c>
    </row>
    <row r="6804" spans="1:2" x14ac:dyDescent="0.3">
      <c r="A6804" s="5" t="str">
        <f>HYPERLINK("http://www.eatonpowersource.com/products/configure/industrial%20valves/details/847an00121a","847AN00121A")</f>
        <v>847AN00121A</v>
      </c>
      <c r="B6804" s="6" t="s">
        <v>6763</v>
      </c>
    </row>
    <row r="6805" spans="1:2" x14ac:dyDescent="0.3">
      <c r="A6805" s="7" t="str">
        <f>HYPERLINK("http://www.eatonpowersource.com/products/configure/industrial%20valves/details/847an00124a","847AN00124A")</f>
        <v>847AN00124A</v>
      </c>
      <c r="B6805" s="8" t="s">
        <v>6764</v>
      </c>
    </row>
    <row r="6806" spans="1:2" x14ac:dyDescent="0.3">
      <c r="A6806" s="5" t="str">
        <f>HYPERLINK("http://www.eatonpowersource.com/products/configure/industrial%20valves/details/847an00125a","847AN00125A")</f>
        <v>847AN00125A</v>
      </c>
      <c r="B6806" s="6" t="s">
        <v>6765</v>
      </c>
    </row>
    <row r="6807" spans="1:2" x14ac:dyDescent="0.3">
      <c r="A6807" s="7" t="str">
        <f>HYPERLINK("http://www.eatonpowersource.com/products/configure/industrial%20valves/details/847an00127a","847AN00127A")</f>
        <v>847AN00127A</v>
      </c>
      <c r="B6807" s="8" t="s">
        <v>6766</v>
      </c>
    </row>
    <row r="6808" spans="1:2" x14ac:dyDescent="0.3">
      <c r="A6808" s="5" t="str">
        <f>HYPERLINK("http://www.eatonpowersource.com/products/configure/industrial%20valves/details/847an00138a","847AN00138A")</f>
        <v>847AN00138A</v>
      </c>
      <c r="B6808" s="6" t="s">
        <v>6767</v>
      </c>
    </row>
    <row r="6809" spans="1:2" x14ac:dyDescent="0.3">
      <c r="A6809" s="7" t="str">
        <f>HYPERLINK("http://www.eatonpowersource.com/products/configure/industrial%20valves/details/847an00139a","847AN00139A")</f>
        <v>847AN00139A</v>
      </c>
      <c r="B6809" s="8" t="s">
        <v>6768</v>
      </c>
    </row>
    <row r="6810" spans="1:2" x14ac:dyDescent="0.3">
      <c r="A6810" s="5" t="str">
        <f>HYPERLINK("http://www.eatonpowersource.com/products/configure/industrial%20valves/details/847an00140a","847AN00140A")</f>
        <v>847AN00140A</v>
      </c>
      <c r="B6810" s="6" t="s">
        <v>6769</v>
      </c>
    </row>
    <row r="6811" spans="1:2" x14ac:dyDescent="0.3">
      <c r="A6811" s="7" t="str">
        <f>HYPERLINK("http://www.eatonpowersource.com/products/configure/industrial%20valves/details/847an00141a","847AN00141A")</f>
        <v>847AN00141A</v>
      </c>
      <c r="B6811" s="8" t="s">
        <v>6770</v>
      </c>
    </row>
    <row r="6812" spans="1:2" x14ac:dyDescent="0.3">
      <c r="A6812" s="5" t="str">
        <f>HYPERLINK("http://www.eatonpowersource.com/products/configure/industrial%20valves/details/847an00144a","847AN00144A")</f>
        <v>847AN00144A</v>
      </c>
      <c r="B6812" s="6" t="s">
        <v>6771</v>
      </c>
    </row>
    <row r="6813" spans="1:2" x14ac:dyDescent="0.3">
      <c r="A6813" s="7" t="str">
        <f>HYPERLINK("http://www.eatonpowersource.com/products/configure/industrial%20valves/details/847an00146a","847AN00146A")</f>
        <v>847AN00146A</v>
      </c>
      <c r="B6813" s="8" t="s">
        <v>6772</v>
      </c>
    </row>
    <row r="6814" spans="1:2" x14ac:dyDescent="0.3">
      <c r="A6814" s="5" t="str">
        <f>HYPERLINK("http://www.eatonpowersource.com/products/configure/industrial%20valves/details/847an00147a","847AN00147A")</f>
        <v>847AN00147A</v>
      </c>
      <c r="B6814" s="6" t="s">
        <v>6773</v>
      </c>
    </row>
    <row r="6815" spans="1:2" x14ac:dyDescent="0.3">
      <c r="A6815" s="7" t="str">
        <f>HYPERLINK("http://www.eatonpowersource.com/products/configure/industrial%20valves/details/847an00148a","847AN00148A")</f>
        <v>847AN00148A</v>
      </c>
      <c r="B6815" s="8" t="s">
        <v>6774</v>
      </c>
    </row>
    <row r="6816" spans="1:2" x14ac:dyDescent="0.3">
      <c r="A6816" s="5" t="str">
        <f>HYPERLINK("http://www.eatonpowersource.com/products/configure/industrial%20valves/details/847an00159a","847AN00159A")</f>
        <v>847AN00159A</v>
      </c>
      <c r="B6816" s="6" t="s">
        <v>6775</v>
      </c>
    </row>
    <row r="6817" spans="1:2" x14ac:dyDescent="0.3">
      <c r="A6817" s="7" t="str">
        <f>HYPERLINK("http://www.eatonpowersource.com/products/configure/industrial%20valves/details/847an00164a","847AN00164A")</f>
        <v>847AN00164A</v>
      </c>
      <c r="B6817" s="8" t="s">
        <v>6776</v>
      </c>
    </row>
    <row r="6818" spans="1:2" x14ac:dyDescent="0.3">
      <c r="A6818" s="5" t="str">
        <f>HYPERLINK("http://www.eatonpowersource.com/products/configure/industrial%20valves/details/847an00165a","847AN00165A")</f>
        <v>847AN00165A</v>
      </c>
      <c r="B6818" s="6" t="s">
        <v>6777</v>
      </c>
    </row>
    <row r="6819" spans="1:2" x14ac:dyDescent="0.3">
      <c r="A6819" s="7" t="str">
        <f>HYPERLINK("http://www.eatonpowersource.com/products/configure/industrial%20valves/details/847an00166a","847AN00166A")</f>
        <v>847AN00166A</v>
      </c>
      <c r="B6819" s="8" t="s">
        <v>6778</v>
      </c>
    </row>
    <row r="6820" spans="1:2" x14ac:dyDescent="0.3">
      <c r="A6820" s="5" t="str">
        <f>HYPERLINK("http://www.eatonpowersource.com/products/configure/industrial%20valves/details/847an00177a","847AN00177A")</f>
        <v>847AN00177A</v>
      </c>
      <c r="B6820" s="6" t="s">
        <v>6779</v>
      </c>
    </row>
    <row r="6821" spans="1:2" x14ac:dyDescent="0.3">
      <c r="A6821" s="7" t="str">
        <f>HYPERLINK("http://www.eatonpowersource.com/products/configure/industrial%20valves/details/847an00178a","847AN00178A")</f>
        <v>847AN00178A</v>
      </c>
      <c r="B6821" s="8" t="s">
        <v>6780</v>
      </c>
    </row>
    <row r="6822" spans="1:2" x14ac:dyDescent="0.3">
      <c r="A6822" s="5" t="str">
        <f>HYPERLINK("http://www.eatonpowersource.com/products/configure/industrial%20valves/details/847an00179a","847AN00179A")</f>
        <v>847AN00179A</v>
      </c>
      <c r="B6822" s="6" t="s">
        <v>6781</v>
      </c>
    </row>
    <row r="6823" spans="1:2" x14ac:dyDescent="0.3">
      <c r="A6823" s="7" t="str">
        <f>HYPERLINK("http://www.eatonpowersource.com/products/configure/industrial%20valves/details/847an00183a","847AN00183A")</f>
        <v>847AN00183A</v>
      </c>
      <c r="B6823" s="8" t="s">
        <v>6782</v>
      </c>
    </row>
    <row r="6824" spans="1:2" x14ac:dyDescent="0.3">
      <c r="A6824" s="5" t="str">
        <f>HYPERLINK("http://www.eatonpowersource.com/products/configure/industrial%20valves/details/847an00187a","847AN00187A")</f>
        <v>847AN00187A</v>
      </c>
      <c r="B6824" s="6" t="s">
        <v>6783</v>
      </c>
    </row>
    <row r="6825" spans="1:2" x14ac:dyDescent="0.3">
      <c r="A6825" s="7" t="str">
        <f>HYPERLINK("http://www.eatonpowersource.com/products/configure/industrial%20valves/details/847an00192a","847AN00192A")</f>
        <v>847AN00192A</v>
      </c>
      <c r="B6825" s="8" t="s">
        <v>6784</v>
      </c>
    </row>
    <row r="6826" spans="1:2" x14ac:dyDescent="0.3">
      <c r="A6826" s="5" t="str">
        <f>HYPERLINK("http://www.eatonpowersource.com/products/configure/industrial%20valves/details/847an00193a","847AN00193A")</f>
        <v>847AN00193A</v>
      </c>
      <c r="B6826" s="6" t="s">
        <v>6785</v>
      </c>
    </row>
    <row r="6827" spans="1:2" x14ac:dyDescent="0.3">
      <c r="A6827" s="7" t="str">
        <f>HYPERLINK("http://www.eatonpowersource.com/products/configure/industrial%20valves/details/847an00194a","847AN00194A")</f>
        <v>847AN00194A</v>
      </c>
      <c r="B6827" s="8" t="s">
        <v>6786</v>
      </c>
    </row>
    <row r="6828" spans="1:2" x14ac:dyDescent="0.3">
      <c r="A6828" s="5" t="str">
        <f>HYPERLINK("http://www.eatonpowersource.com/products/configure/industrial%20valves/details/847an00195a","847AN00195A")</f>
        <v>847AN00195A</v>
      </c>
      <c r="B6828" s="6" t="s">
        <v>6787</v>
      </c>
    </row>
    <row r="6829" spans="1:2" x14ac:dyDescent="0.3">
      <c r="A6829" s="7" t="str">
        <f>HYPERLINK("http://www.eatonpowersource.com/products/configure/industrial%20valves/details/847an00196a","847AN00196A")</f>
        <v>847AN00196A</v>
      </c>
      <c r="B6829" s="8" t="s">
        <v>6788</v>
      </c>
    </row>
    <row r="6830" spans="1:2" x14ac:dyDescent="0.3">
      <c r="A6830" s="5" t="str">
        <f>HYPERLINK("http://www.eatonpowersource.com/products/configure/industrial%20valves/details/847an00199a","847AN00199A")</f>
        <v>847AN00199A</v>
      </c>
      <c r="B6830" s="6" t="s">
        <v>6789</v>
      </c>
    </row>
    <row r="6831" spans="1:2" x14ac:dyDescent="0.3">
      <c r="A6831" s="7" t="str">
        <f>HYPERLINK("http://www.eatonpowersource.com/products/configure/industrial%20valves/details/847an00200a","847AN00200A")</f>
        <v>847AN00200A</v>
      </c>
      <c r="B6831" s="8" t="s">
        <v>6790</v>
      </c>
    </row>
    <row r="6832" spans="1:2" x14ac:dyDescent="0.3">
      <c r="A6832" s="5" t="str">
        <f>HYPERLINK("http://www.eatonpowersource.com/products/configure/industrial%20valves/details/847an00203a","847AN00203A")</f>
        <v>847AN00203A</v>
      </c>
      <c r="B6832" s="6" t="s">
        <v>6791</v>
      </c>
    </row>
    <row r="6833" spans="1:2" x14ac:dyDescent="0.3">
      <c r="A6833" s="7" t="str">
        <f>HYPERLINK("http://www.eatonpowersource.com/products/configure/industrial%20valves/details/847an00206a","847AN00206A")</f>
        <v>847AN00206A</v>
      </c>
      <c r="B6833" s="8" t="s">
        <v>6792</v>
      </c>
    </row>
    <row r="6834" spans="1:2" x14ac:dyDescent="0.3">
      <c r="A6834" s="5" t="str">
        <f>HYPERLINK("http://www.eatonpowersource.com/products/configure/industrial%20valves/details/847an00208a","847AN00208A")</f>
        <v>847AN00208A</v>
      </c>
      <c r="B6834" s="6" t="s">
        <v>6793</v>
      </c>
    </row>
    <row r="6835" spans="1:2" x14ac:dyDescent="0.3">
      <c r="A6835" s="7" t="str">
        <f>HYPERLINK("http://www.eatonpowersource.com/products/configure/industrial%20valves/details/847an00216a","847AN00216A")</f>
        <v>847AN00216A</v>
      </c>
      <c r="B6835" s="8" t="s">
        <v>6794</v>
      </c>
    </row>
    <row r="6836" spans="1:2" x14ac:dyDescent="0.3">
      <c r="A6836" s="5" t="str">
        <f>HYPERLINK("http://www.eatonpowersource.com/products/configure/industrial%20valves/details/847an00217a","847AN00217A")</f>
        <v>847AN00217A</v>
      </c>
      <c r="B6836" s="6" t="s">
        <v>6795</v>
      </c>
    </row>
    <row r="6837" spans="1:2" x14ac:dyDescent="0.3">
      <c r="A6837" s="7" t="str">
        <f>HYPERLINK("http://www.eatonpowersource.com/products/configure/industrial%20valves/details/847an00218a","847AN00218A")</f>
        <v>847AN00218A</v>
      </c>
      <c r="B6837" s="8" t="s">
        <v>6796</v>
      </c>
    </row>
    <row r="6838" spans="1:2" x14ac:dyDescent="0.3">
      <c r="A6838" s="5" t="str">
        <f>HYPERLINK("http://www.eatonpowersource.com/products/configure/industrial%20valves/details/847an00219a","847AN00219A")</f>
        <v>847AN00219A</v>
      </c>
      <c r="B6838" s="6" t="s">
        <v>6797</v>
      </c>
    </row>
    <row r="6839" spans="1:2" x14ac:dyDescent="0.3">
      <c r="A6839" s="7" t="str">
        <f>HYPERLINK("http://www.eatonpowersource.com/products/configure/industrial%20valves/details/847an00220a","847AN00220A")</f>
        <v>847AN00220A</v>
      </c>
      <c r="B6839" s="8" t="s">
        <v>6798</v>
      </c>
    </row>
    <row r="6840" spans="1:2" x14ac:dyDescent="0.3">
      <c r="A6840" s="5" t="str">
        <f>HYPERLINK("http://www.eatonpowersource.com/products/configure/industrial%20valves/details/847an00221a","847AN00221A")</f>
        <v>847AN00221A</v>
      </c>
      <c r="B6840" s="6" t="s">
        <v>6799</v>
      </c>
    </row>
    <row r="6841" spans="1:2" x14ac:dyDescent="0.3">
      <c r="A6841" s="7" t="str">
        <f>HYPERLINK("http://www.eatonpowersource.com/products/configure/industrial%20valves/details/847an00223a","847AN00223A")</f>
        <v>847AN00223A</v>
      </c>
      <c r="B6841" s="8" t="s">
        <v>6800</v>
      </c>
    </row>
    <row r="6842" spans="1:2" x14ac:dyDescent="0.3">
      <c r="A6842" s="5" t="str">
        <f>HYPERLINK("http://www.eatonpowersource.com/products/configure/industrial%20valves/details/847an00224a","847AN00224A")</f>
        <v>847AN00224A</v>
      </c>
      <c r="B6842" s="6" t="s">
        <v>6801</v>
      </c>
    </row>
    <row r="6843" spans="1:2" x14ac:dyDescent="0.3">
      <c r="A6843" s="7" t="str">
        <f>HYPERLINK("http://www.eatonpowersource.com/products/configure/industrial%20valves/details/847an00229a","847AN00229A")</f>
        <v>847AN00229A</v>
      </c>
      <c r="B6843" s="8" t="s">
        <v>6802</v>
      </c>
    </row>
    <row r="6844" spans="1:2" x14ac:dyDescent="0.3">
      <c r="A6844" s="5" t="str">
        <f>HYPERLINK("http://www.eatonpowersource.com/products/configure/industrial%20valves/details/847an00231a","847AN00231A")</f>
        <v>847AN00231A</v>
      </c>
      <c r="B6844" s="6" t="s">
        <v>6803</v>
      </c>
    </row>
    <row r="6845" spans="1:2" x14ac:dyDescent="0.3">
      <c r="A6845" s="7" t="str">
        <f>HYPERLINK("http://www.eatonpowersource.com/products/configure/industrial%20valves/details/847an00237a","847AN00237A")</f>
        <v>847AN00237A</v>
      </c>
      <c r="B6845" s="8" t="s">
        <v>6804</v>
      </c>
    </row>
    <row r="6846" spans="1:2" x14ac:dyDescent="0.3">
      <c r="A6846" s="5" t="str">
        <f>HYPERLINK("http://www.eatonpowersource.com/products/configure/industrial%20valves/details/847an00244a","847AN00244A")</f>
        <v>847AN00244A</v>
      </c>
      <c r="B6846" s="6" t="s">
        <v>6805</v>
      </c>
    </row>
    <row r="6847" spans="1:2" x14ac:dyDescent="0.3">
      <c r="A6847" s="7" t="str">
        <f>HYPERLINK("http://www.eatonpowersource.com/products/configure/industrial%20valves/details/847an00251a","847AN00251A")</f>
        <v>847AN00251A</v>
      </c>
      <c r="B6847" s="8" t="s">
        <v>6806</v>
      </c>
    </row>
    <row r="6848" spans="1:2" x14ac:dyDescent="0.3">
      <c r="A6848" s="5" t="str">
        <f>HYPERLINK("http://www.eatonpowersource.com/products/configure/industrial%20valves/details/847an00258a","847AN00258A")</f>
        <v>847AN00258A</v>
      </c>
      <c r="B6848" s="6" t="s">
        <v>6807</v>
      </c>
    </row>
    <row r="6849" spans="1:2" x14ac:dyDescent="0.3">
      <c r="A6849" s="7" t="str">
        <f>HYPERLINK("http://www.eatonpowersource.com/products/configure/industrial%20valves/details/847an00262a","847AN00262A")</f>
        <v>847AN00262A</v>
      </c>
      <c r="B6849" s="8" t="s">
        <v>6808</v>
      </c>
    </row>
    <row r="6850" spans="1:2" x14ac:dyDescent="0.3">
      <c r="A6850" s="5" t="str">
        <f>HYPERLINK("http://www.eatonpowersource.com/products/configure/industrial%20valves/details/847an00263a","847AN00263A")</f>
        <v>847AN00263A</v>
      </c>
      <c r="B6850" s="6" t="s">
        <v>6809</v>
      </c>
    </row>
    <row r="6851" spans="1:2" x14ac:dyDescent="0.3">
      <c r="A6851" s="7" t="str">
        <f>HYPERLINK("http://www.eatonpowersource.com/products/configure/industrial%20valves/details/847an00264a","847AN00264A")</f>
        <v>847AN00264A</v>
      </c>
      <c r="B6851" s="8" t="s">
        <v>6810</v>
      </c>
    </row>
    <row r="6852" spans="1:2" x14ac:dyDescent="0.3">
      <c r="A6852" s="5" t="str">
        <f>HYPERLINK("http://www.eatonpowersource.com/products/configure/industrial%20valves/details/847an00265a","847AN00265A")</f>
        <v>847AN00265A</v>
      </c>
      <c r="B6852" s="6" t="s">
        <v>6811</v>
      </c>
    </row>
    <row r="6853" spans="1:2" x14ac:dyDescent="0.3">
      <c r="A6853" s="7" t="str">
        <f>HYPERLINK("http://www.eatonpowersource.com/products/configure/industrial%20valves/details/847an00266a","847AN00266A")</f>
        <v>847AN00266A</v>
      </c>
      <c r="B6853" s="8" t="s">
        <v>6812</v>
      </c>
    </row>
    <row r="6854" spans="1:2" x14ac:dyDescent="0.3">
      <c r="A6854" s="5" t="str">
        <f>HYPERLINK("http://www.eatonpowersource.com/products/configure/industrial%20valves/details/847an00267a","847AN00267A")</f>
        <v>847AN00267A</v>
      </c>
      <c r="B6854" s="6" t="s">
        <v>6813</v>
      </c>
    </row>
    <row r="6855" spans="1:2" x14ac:dyDescent="0.3">
      <c r="A6855" s="7" t="str">
        <f>HYPERLINK("http://www.eatonpowersource.com/products/configure/industrial%20valves/details/847an00271a","847AN00271A")</f>
        <v>847AN00271A</v>
      </c>
      <c r="B6855" s="8" t="s">
        <v>6814</v>
      </c>
    </row>
    <row r="6856" spans="1:2" x14ac:dyDescent="0.3">
      <c r="A6856" s="5" t="str">
        <f>HYPERLINK("http://www.eatonpowersource.com/products/configure/industrial%20valves/details/847an00272a","847AN00272A")</f>
        <v>847AN00272A</v>
      </c>
      <c r="B6856" s="6" t="s">
        <v>6815</v>
      </c>
    </row>
    <row r="6857" spans="1:2" x14ac:dyDescent="0.3">
      <c r="A6857" s="7" t="str">
        <f>HYPERLINK("http://www.eatonpowersource.com/products/configure/industrial%20valves/details/847an00273a","847AN00273A")</f>
        <v>847AN00273A</v>
      </c>
      <c r="B6857" s="8" t="s">
        <v>6816</v>
      </c>
    </row>
    <row r="6858" spans="1:2" x14ac:dyDescent="0.3">
      <c r="A6858" s="5" t="str">
        <f>HYPERLINK("http://www.eatonpowersource.com/products/configure/industrial%20valves/details/847an00274a","847AN00274A")</f>
        <v>847AN00274A</v>
      </c>
      <c r="B6858" s="6" t="s">
        <v>6817</v>
      </c>
    </row>
    <row r="6859" spans="1:2" x14ac:dyDescent="0.3">
      <c r="A6859" s="7" t="str">
        <f>HYPERLINK("http://www.eatonpowersource.com/products/configure/industrial%20valves/details/847an00275a","847AN00275A")</f>
        <v>847AN00275A</v>
      </c>
      <c r="B6859" s="8" t="s">
        <v>6818</v>
      </c>
    </row>
    <row r="6860" spans="1:2" x14ac:dyDescent="0.3">
      <c r="A6860" s="5" t="str">
        <f>HYPERLINK("http://www.eatonpowersource.com/products/configure/industrial%20valves/details/847an00276a","847AN00276A")</f>
        <v>847AN00276A</v>
      </c>
      <c r="B6860" s="6" t="s">
        <v>6819</v>
      </c>
    </row>
    <row r="6861" spans="1:2" x14ac:dyDescent="0.3">
      <c r="A6861" s="7" t="str">
        <f>HYPERLINK("http://www.eatonpowersource.com/products/configure/industrial%20valves/details/847an00277a","847AN00277A")</f>
        <v>847AN00277A</v>
      </c>
      <c r="B6861" s="8" t="s">
        <v>6820</v>
      </c>
    </row>
    <row r="6862" spans="1:2" x14ac:dyDescent="0.3">
      <c r="A6862" s="5" t="str">
        <f>HYPERLINK("http://www.eatonpowersource.com/products/configure/industrial%20valves/details/847an00279a","847AN00279A")</f>
        <v>847AN00279A</v>
      </c>
      <c r="B6862" s="6" t="s">
        <v>6821</v>
      </c>
    </row>
    <row r="6863" spans="1:2" x14ac:dyDescent="0.3">
      <c r="A6863" s="7" t="str">
        <f>HYPERLINK("http://www.eatonpowersource.com/products/configure/industrial%20valves/details/847an00280a","847AN00280A")</f>
        <v>847AN00280A</v>
      </c>
      <c r="B6863" s="8" t="s">
        <v>6822</v>
      </c>
    </row>
    <row r="6864" spans="1:2" x14ac:dyDescent="0.3">
      <c r="A6864" s="5" t="str">
        <f>HYPERLINK("http://www.eatonpowersource.com/products/configure/industrial%20valves/details/869826","869826")</f>
        <v>869826</v>
      </c>
      <c r="B6864" s="6" t="s">
        <v>6823</v>
      </c>
    </row>
    <row r="6865" spans="1:2" x14ac:dyDescent="0.3">
      <c r="A6865" s="7" t="str">
        <f>HYPERLINK("http://www.eatonpowersource.com/products/configure/industrial%20valves/details/869908","869908")</f>
        <v>869908</v>
      </c>
      <c r="B6865" s="8" t="s">
        <v>6824</v>
      </c>
    </row>
    <row r="6866" spans="1:2" x14ac:dyDescent="0.3">
      <c r="A6866" s="5" t="str">
        <f>HYPERLINK("http://www.eatonpowersource.com/products/configure/industrial%20valves/details/869914","869914")</f>
        <v>869914</v>
      </c>
      <c r="B6866" s="6" t="s">
        <v>6825</v>
      </c>
    </row>
    <row r="6867" spans="1:2" x14ac:dyDescent="0.3">
      <c r="A6867" s="7" t="str">
        <f>HYPERLINK("http://www.eatonpowersource.com/products/configure/industrial%20valves/details/870796","870796")</f>
        <v>870796</v>
      </c>
      <c r="B6867" s="8" t="s">
        <v>6826</v>
      </c>
    </row>
    <row r="6868" spans="1:2" x14ac:dyDescent="0.3">
      <c r="A6868" s="5" t="str">
        <f>HYPERLINK("http://www.eatonpowersource.com/products/configure/industrial%20valves/details/870797","870797")</f>
        <v>870797</v>
      </c>
      <c r="B6868" s="6" t="s">
        <v>6827</v>
      </c>
    </row>
    <row r="6869" spans="1:2" x14ac:dyDescent="0.3">
      <c r="A6869" s="7" t="str">
        <f>HYPERLINK("http://www.eatonpowersource.com/products/configure/industrial%20valves/details/870798","870798")</f>
        <v>870798</v>
      </c>
      <c r="B6869" s="8" t="s">
        <v>6828</v>
      </c>
    </row>
    <row r="6870" spans="1:2" x14ac:dyDescent="0.3">
      <c r="A6870" s="5" t="str">
        <f>HYPERLINK("http://www.eatonpowersource.com/products/configure/industrial%20valves/details/870799","870799")</f>
        <v>870799</v>
      </c>
      <c r="B6870" s="6" t="s">
        <v>6829</v>
      </c>
    </row>
    <row r="6871" spans="1:2" x14ac:dyDescent="0.3">
      <c r="A6871" s="7" t="str">
        <f>HYPERLINK("http://www.eatonpowersource.com/products/configure/industrial%20valves/details/870800","870800")</f>
        <v>870800</v>
      </c>
      <c r="B6871" s="8" t="s">
        <v>6830</v>
      </c>
    </row>
    <row r="6872" spans="1:2" x14ac:dyDescent="0.3">
      <c r="A6872" s="5" t="str">
        <f>HYPERLINK("http://www.eatonpowersource.com/products/configure/industrial%20valves/details/870801","870801")</f>
        <v>870801</v>
      </c>
      <c r="B6872" s="6" t="s">
        <v>6831</v>
      </c>
    </row>
    <row r="6873" spans="1:2" x14ac:dyDescent="0.3">
      <c r="A6873" s="7" t="str">
        <f>HYPERLINK("http://www.eatonpowersource.com/products/configure/industrial%20valves/details/870803","870803")</f>
        <v>870803</v>
      </c>
      <c r="B6873" s="8" t="s">
        <v>6832</v>
      </c>
    </row>
    <row r="6874" spans="1:2" x14ac:dyDescent="0.3">
      <c r="A6874" s="5" t="str">
        <f>HYPERLINK("http://www.eatonpowersource.com/products/configure/industrial%20valves/details/871365","871365")</f>
        <v>871365</v>
      </c>
      <c r="B6874" s="6" t="s">
        <v>6833</v>
      </c>
    </row>
    <row r="6875" spans="1:2" x14ac:dyDescent="0.3">
      <c r="A6875" s="7" t="str">
        <f>HYPERLINK("http://www.eatonpowersource.com/products/configure/industrial%20valves/details/871366","871366")</f>
        <v>871366</v>
      </c>
      <c r="B6875" s="8" t="s">
        <v>6834</v>
      </c>
    </row>
    <row r="6876" spans="1:2" x14ac:dyDescent="0.3">
      <c r="A6876" s="5" t="str">
        <f>HYPERLINK("http://www.eatonpowersource.com/products/configure/industrial%20valves/details/871367","871367")</f>
        <v>871367</v>
      </c>
      <c r="B6876" s="6" t="s">
        <v>6835</v>
      </c>
    </row>
    <row r="6877" spans="1:2" x14ac:dyDescent="0.3">
      <c r="A6877" s="7" t="str">
        <f>HYPERLINK("http://www.eatonpowersource.com/products/configure/industrial%20valves/details/872189","872189")</f>
        <v>872189</v>
      </c>
      <c r="B6877" s="8" t="s">
        <v>6836</v>
      </c>
    </row>
    <row r="6878" spans="1:2" x14ac:dyDescent="0.3">
      <c r="A6878" s="5" t="str">
        <f>HYPERLINK("http://www.eatonpowersource.com/products/configure/industrial%20valves/details/992748","992748")</f>
        <v>992748</v>
      </c>
      <c r="B6878" s="6" t="s">
        <v>6837</v>
      </c>
    </row>
    <row r="6879" spans="1:2" x14ac:dyDescent="0.3">
      <c r="A6879" s="7" t="str">
        <f>HYPERLINK("http://www.eatonpowersource.com/products/configure/industrial%20valves/details/02-109606","02-109606")</f>
        <v>02-109606</v>
      </c>
      <c r="B6879" s="8" t="s">
        <v>6838</v>
      </c>
    </row>
    <row r="6880" spans="1:2" x14ac:dyDescent="0.3">
      <c r="A6880" s="5" t="str">
        <f>HYPERLINK("http://www.eatonpowersource.com/products/configure/industrial%20valves/details/02-109607","02-109607")</f>
        <v>02-109607</v>
      </c>
      <c r="B6880" s="6" t="s">
        <v>6839</v>
      </c>
    </row>
    <row r="6881" spans="1:2" x14ac:dyDescent="0.3">
      <c r="A6881" s="7" t="str">
        <f>HYPERLINK("http://www.eatonpowersource.com/products/configure/industrial%20valves/details/02-109679","02-109679")</f>
        <v>02-109679</v>
      </c>
      <c r="B6881" s="8" t="s">
        <v>6840</v>
      </c>
    </row>
    <row r="6882" spans="1:2" x14ac:dyDescent="0.3">
      <c r="A6882" s="5" t="str">
        <f>HYPERLINK("http://www.eatonpowersource.com/products/configure/industrial%20valves/details/02-156044","02-156044")</f>
        <v>02-156044</v>
      </c>
      <c r="B6882" s="6" t="s">
        <v>6841</v>
      </c>
    </row>
    <row r="6883" spans="1:2" x14ac:dyDescent="0.3">
      <c r="A6883" s="7" t="str">
        <f>HYPERLINK("http://www.eatonpowersource.com/products/configure/industrial%20valves/details/02-156046","02-156046")</f>
        <v>02-156046</v>
      </c>
      <c r="B6883" s="8" t="s">
        <v>6842</v>
      </c>
    </row>
    <row r="6884" spans="1:2" x14ac:dyDescent="0.3">
      <c r="A6884" s="5" t="str">
        <f>HYPERLINK("http://www.eatonpowersource.com/products/configure/industrial%20valves/details/02-156452","02-156452")</f>
        <v>02-156452</v>
      </c>
      <c r="B6884" s="6" t="s">
        <v>6843</v>
      </c>
    </row>
    <row r="6885" spans="1:2" x14ac:dyDescent="0.3">
      <c r="A6885" s="7" t="str">
        <f>HYPERLINK("http://www.eatonpowersource.com/products/configure/industrial%20valves/details/02-156456","02-156456")</f>
        <v>02-156456</v>
      </c>
      <c r="B6885" s="8" t="s">
        <v>6844</v>
      </c>
    </row>
    <row r="6886" spans="1:2" x14ac:dyDescent="0.3">
      <c r="A6886" s="5" t="str">
        <f>HYPERLINK("http://www.eatonpowersource.com/products/configure/industrial%20valves/details/02-156772","02-156772")</f>
        <v>02-156772</v>
      </c>
      <c r="B6886" s="6" t="s">
        <v>6845</v>
      </c>
    </row>
    <row r="6887" spans="1:2" x14ac:dyDescent="0.3">
      <c r="A6887" s="7" t="str">
        <f>HYPERLINK("http://www.eatonpowersource.com/products/configure/industrial%20valves/details/02-157741","02-157741")</f>
        <v>02-157741</v>
      </c>
      <c r="B6887" s="8" t="s">
        <v>6846</v>
      </c>
    </row>
    <row r="6888" spans="1:2" x14ac:dyDescent="0.3">
      <c r="A6888" s="5" t="str">
        <f>HYPERLINK("http://www.eatonpowersource.com/products/configure/industrial%20valves/details/02-157809","02-157809")</f>
        <v>02-157809</v>
      </c>
      <c r="B6888" s="6" t="s">
        <v>6847</v>
      </c>
    </row>
    <row r="6889" spans="1:2" x14ac:dyDescent="0.3">
      <c r="A6889" s="7" t="str">
        <f>HYPERLINK("http://www.eatonpowersource.com/products/configure/industrial%20valves/details/02-157811","02-157811")</f>
        <v>02-157811</v>
      </c>
      <c r="B6889" s="8" t="s">
        <v>6848</v>
      </c>
    </row>
    <row r="6890" spans="1:2" x14ac:dyDescent="0.3">
      <c r="A6890" s="5" t="str">
        <f>HYPERLINK("http://www.eatonpowersource.com/products/configure/industrial%20valves/details/02-310563","02-310563")</f>
        <v>02-310563</v>
      </c>
      <c r="B6890" s="6" t="s">
        <v>6849</v>
      </c>
    </row>
    <row r="6891" spans="1:2" x14ac:dyDescent="0.3">
      <c r="A6891" s="7" t="str">
        <f>HYPERLINK("http://www.eatonpowersource.com/products/configure/industrial%20valves/details/02-310564","02-310564")</f>
        <v>02-310564</v>
      </c>
      <c r="B6891" s="8" t="s">
        <v>6850</v>
      </c>
    </row>
    <row r="6892" spans="1:2" x14ac:dyDescent="0.3">
      <c r="A6892" s="5" t="str">
        <f>HYPERLINK("http://www.eatonpowersource.com/products/configure/industrial%20valves/details/02-310565","02-310565")</f>
        <v>02-310565</v>
      </c>
      <c r="B6892" s="6" t="s">
        <v>6851</v>
      </c>
    </row>
    <row r="6893" spans="1:2" x14ac:dyDescent="0.3">
      <c r="A6893" s="7" t="str">
        <f>HYPERLINK("http://www.eatonpowersource.com/products/configure/industrial%20valves/details/02-310641","02-310641")</f>
        <v>02-310641</v>
      </c>
      <c r="B6893" s="8" t="s">
        <v>6852</v>
      </c>
    </row>
    <row r="6894" spans="1:2" x14ac:dyDescent="0.3">
      <c r="A6894" s="5" t="str">
        <f>HYPERLINK("http://www.eatonpowersource.com/products/configure/industrial%20valves/details/02-310642","02-310642")</f>
        <v>02-310642</v>
      </c>
      <c r="B6894" s="6" t="s">
        <v>6853</v>
      </c>
    </row>
    <row r="6895" spans="1:2" x14ac:dyDescent="0.3">
      <c r="A6895" s="7" t="str">
        <f>HYPERLINK("http://www.eatonpowersource.com/products/configure/industrial%20valves/details/02-311510","02-311510")</f>
        <v>02-311510</v>
      </c>
      <c r="B6895" s="8" t="s">
        <v>6854</v>
      </c>
    </row>
    <row r="6896" spans="1:2" x14ac:dyDescent="0.3">
      <c r="A6896" s="5" t="str">
        <f>HYPERLINK("http://www.eatonpowersource.com/products/configure/industrial%20valves/details/02-311958","02-311958")</f>
        <v>02-311958</v>
      </c>
      <c r="B6896" s="6" t="s">
        <v>6855</v>
      </c>
    </row>
    <row r="6897" spans="1:2" x14ac:dyDescent="0.3">
      <c r="A6897" s="7" t="str">
        <f>HYPERLINK("http://www.eatonpowersource.com/products/configure/industrial%20valves/details/02-311960","02-311960")</f>
        <v>02-311960</v>
      </c>
      <c r="B6897" s="8" t="s">
        <v>6856</v>
      </c>
    </row>
    <row r="6898" spans="1:2" x14ac:dyDescent="0.3">
      <c r="A6898" s="5" t="str">
        <f>HYPERLINK("http://www.eatonpowersource.com/products/configure/industrial%20valves/details/02-312101","02-312101")</f>
        <v>02-312101</v>
      </c>
      <c r="B6898" s="6" t="s">
        <v>6857</v>
      </c>
    </row>
    <row r="6899" spans="1:2" x14ac:dyDescent="0.3">
      <c r="A6899" s="7" t="str">
        <f>HYPERLINK("http://www.eatonpowersource.com/products/configure/industrial%20valves/details/02-312102","02-312102")</f>
        <v>02-312102</v>
      </c>
      <c r="B6899" s="8" t="s">
        <v>6858</v>
      </c>
    </row>
    <row r="6900" spans="1:2" x14ac:dyDescent="0.3">
      <c r="A6900" s="5" t="str">
        <f>HYPERLINK("http://www.eatonpowersource.com/products/configure/industrial%20valves/details/02-312121","02-312121")</f>
        <v>02-312121</v>
      </c>
      <c r="B6900" s="6" t="s">
        <v>6859</v>
      </c>
    </row>
    <row r="6901" spans="1:2" x14ac:dyDescent="0.3">
      <c r="A6901" s="7" t="str">
        <f>HYPERLINK("http://www.eatonpowersource.com/products/configure/industrial%20valves/details/02-312335","02-312335")</f>
        <v>02-312335</v>
      </c>
      <c r="B6901" s="8" t="s">
        <v>6860</v>
      </c>
    </row>
    <row r="6902" spans="1:2" x14ac:dyDescent="0.3">
      <c r="A6902" s="5" t="str">
        <f>HYPERLINK("http://www.eatonpowersource.com/products/configure/industrial%20valves/details/02-312336","02-312336")</f>
        <v>02-312336</v>
      </c>
      <c r="B6902" s="6" t="s">
        <v>6861</v>
      </c>
    </row>
    <row r="6903" spans="1:2" x14ac:dyDescent="0.3">
      <c r="A6903" s="7" t="str">
        <f>HYPERLINK("http://www.eatonpowersource.com/products/configure/industrial%20valves/details/02-318400","02-318400")</f>
        <v>02-318400</v>
      </c>
      <c r="B6903" s="8" t="s">
        <v>6862</v>
      </c>
    </row>
    <row r="6904" spans="1:2" x14ac:dyDescent="0.3">
      <c r="A6904" s="5" t="str">
        <f>HYPERLINK("http://www.eatonpowersource.com/products/configure/industrial%20valves/details/02-319438","02-319438")</f>
        <v>02-319438</v>
      </c>
      <c r="B6904" s="6" t="s">
        <v>6863</v>
      </c>
    </row>
    <row r="6905" spans="1:2" x14ac:dyDescent="0.3">
      <c r="A6905" s="7" t="str">
        <f>HYPERLINK("http://www.eatonpowersource.com/products/configure/industrial%20valves/details/02-350375","02-350375")</f>
        <v>02-350375</v>
      </c>
      <c r="B6905" s="8" t="s">
        <v>6864</v>
      </c>
    </row>
    <row r="6906" spans="1:2" x14ac:dyDescent="0.3">
      <c r="A6906" s="5" t="str">
        <f>HYPERLINK("http://www.eatonpowersource.com/products/configure/industrial%20valves/details/02-353851","02-353851")</f>
        <v>02-353851</v>
      </c>
      <c r="B6906" s="6" t="s">
        <v>6865</v>
      </c>
    </row>
    <row r="6907" spans="1:2" x14ac:dyDescent="0.3">
      <c r="A6907" s="7" t="str">
        <f>HYPERLINK("http://www.eatonpowersource.com/products/configure/industrial%20valves/details/02-414481","02-414481")</f>
        <v>02-414481</v>
      </c>
      <c r="B6907" s="8" t="s">
        <v>6866</v>
      </c>
    </row>
    <row r="6908" spans="1:2" x14ac:dyDescent="0.3">
      <c r="A6908" s="5" t="str">
        <f>HYPERLINK("http://www.eatonpowersource.com/products/configure/industrial%20valves/details/02-414534","02-414534")</f>
        <v>02-414534</v>
      </c>
      <c r="B6908" s="6" t="s">
        <v>6867</v>
      </c>
    </row>
    <row r="6909" spans="1:2" x14ac:dyDescent="0.3">
      <c r="A6909" s="7" t="str">
        <f>HYPERLINK("http://www.eatonpowersource.com/products/configure/industrial%20valves/details/478884","478884")</f>
        <v>478884</v>
      </c>
      <c r="B6909" s="8" t="s">
        <v>6868</v>
      </c>
    </row>
    <row r="6910" spans="1:2" x14ac:dyDescent="0.3">
      <c r="A6910" s="5" t="str">
        <f>HYPERLINK("http://www.eatonpowersource.com/products/configure/industrial%20valves/details/478993","478993")</f>
        <v>478993</v>
      </c>
      <c r="B6910" s="6" t="s">
        <v>6869</v>
      </c>
    </row>
    <row r="6911" spans="1:2" x14ac:dyDescent="0.3">
      <c r="A6911" s="7" t="str">
        <f>HYPERLINK("http://www.eatonpowersource.com/products/configure/industrial%20valves/details/478994","478994")</f>
        <v>478994</v>
      </c>
      <c r="B6911" s="8" t="s">
        <v>6870</v>
      </c>
    </row>
    <row r="6912" spans="1:2" x14ac:dyDescent="0.3">
      <c r="A6912" s="5" t="str">
        <f>HYPERLINK("http://www.eatonpowersource.com/products/configure/industrial%20valves/details/636154","636154")</f>
        <v>636154</v>
      </c>
      <c r="B6912" s="6" t="s">
        <v>6871</v>
      </c>
    </row>
    <row r="6913" spans="1:2" x14ac:dyDescent="0.3">
      <c r="A6913" s="7" t="str">
        <f>HYPERLINK("http://www.eatonpowersource.com/products/configure/industrial%20valves/details/636156","636156")</f>
        <v>636156</v>
      </c>
      <c r="B6913" s="8" t="s">
        <v>6872</v>
      </c>
    </row>
    <row r="6914" spans="1:2" x14ac:dyDescent="0.3">
      <c r="A6914" s="5" t="str">
        <f>HYPERLINK("http://www.eatonpowersource.com/products/configure/industrial%20valves/details/763107","763107")</f>
        <v>763107</v>
      </c>
      <c r="B6914" s="6" t="s">
        <v>6873</v>
      </c>
    </row>
    <row r="6915" spans="1:2" x14ac:dyDescent="0.3">
      <c r="A6915" s="7" t="str">
        <f>HYPERLINK("http://www.eatonpowersource.com/products/configure/industrial%20valves/details/763108","763108")</f>
        <v>763108</v>
      </c>
      <c r="B6915" s="8" t="s">
        <v>6874</v>
      </c>
    </row>
    <row r="6916" spans="1:2" x14ac:dyDescent="0.3">
      <c r="A6916" s="5" t="str">
        <f>HYPERLINK("http://www.eatonpowersource.com/products/configure/industrial%20valves/details/763109","763109")</f>
        <v>763109</v>
      </c>
      <c r="B6916" s="6" t="s">
        <v>6875</v>
      </c>
    </row>
    <row r="6917" spans="1:2" x14ac:dyDescent="0.3">
      <c r="A6917" s="7" t="str">
        <f>HYPERLINK("http://www.eatonpowersource.com/products/configure/industrial%20valves/details/763110","763110")</f>
        <v>763110</v>
      </c>
      <c r="B6917" s="8" t="s">
        <v>6876</v>
      </c>
    </row>
    <row r="6918" spans="1:2" x14ac:dyDescent="0.3">
      <c r="A6918" s="5" t="str">
        <f>HYPERLINK("http://www.eatonpowersource.com/products/configure/industrial%20valves/details/763114","763114")</f>
        <v>763114</v>
      </c>
      <c r="B6918" s="6" t="s">
        <v>6877</v>
      </c>
    </row>
    <row r="6919" spans="1:2" x14ac:dyDescent="0.3">
      <c r="A6919" s="7" t="str">
        <f>HYPERLINK("http://www.eatonpowersource.com/products/configure/industrial%20valves/details/846an00004a","846AN00004A")</f>
        <v>846AN00004A</v>
      </c>
      <c r="B6919" s="8" t="s">
        <v>6878</v>
      </c>
    </row>
    <row r="6920" spans="1:2" x14ac:dyDescent="0.3">
      <c r="A6920" s="5" t="str">
        <f>HYPERLINK("http://www.eatonpowersource.com/products/configure/industrial%20valves/details/846an00029a","846AN00029A")</f>
        <v>846AN00029A</v>
      </c>
      <c r="B6920" s="6" t="s">
        <v>6879</v>
      </c>
    </row>
    <row r="6921" spans="1:2" x14ac:dyDescent="0.3">
      <c r="A6921" s="7" t="str">
        <f>HYPERLINK("http://www.eatonpowersource.com/products/configure/industrial%20valves/details/846an00030a","846AN00030A")</f>
        <v>846AN00030A</v>
      </c>
      <c r="B6921" s="8" t="s">
        <v>6880</v>
      </c>
    </row>
    <row r="6922" spans="1:2" x14ac:dyDescent="0.3">
      <c r="A6922" s="5" t="str">
        <f>HYPERLINK("http://www.eatonpowersource.com/products/configure/industrial%20valves/details/846an00042a","846AN00042A")</f>
        <v>846AN00042A</v>
      </c>
      <c r="B6922" s="6" t="s">
        <v>6881</v>
      </c>
    </row>
    <row r="6923" spans="1:2" x14ac:dyDescent="0.3">
      <c r="A6923" s="7" t="str">
        <f>HYPERLINK("http://www.eatonpowersource.com/products/configure/industrial%20valves/details/846an00045a","846AN00045A")</f>
        <v>846AN00045A</v>
      </c>
      <c r="B6923" s="8" t="s">
        <v>6882</v>
      </c>
    </row>
    <row r="6924" spans="1:2" x14ac:dyDescent="0.3">
      <c r="A6924" s="5" t="str">
        <f>HYPERLINK("http://www.eatonpowersource.com/products/configure/industrial%20valves/details/846an00057a","846AN00057A")</f>
        <v>846AN00057A</v>
      </c>
      <c r="B6924" s="6" t="s">
        <v>6883</v>
      </c>
    </row>
    <row r="6925" spans="1:2" x14ac:dyDescent="0.3">
      <c r="A6925" s="7" t="str">
        <f>HYPERLINK("http://www.eatonpowersource.com/products/configure/industrial%20valves/details/846an00127a","846AN00127A")</f>
        <v>846AN00127A</v>
      </c>
      <c r="B6925" s="8" t="s">
        <v>6884</v>
      </c>
    </row>
    <row r="6926" spans="1:2" x14ac:dyDescent="0.3">
      <c r="A6926" s="5" t="str">
        <f>HYPERLINK("http://www.eatonpowersource.com/products/configure/industrial%20valves/details/846an00135a","846AN00135A")</f>
        <v>846AN00135A</v>
      </c>
      <c r="B6926" s="6" t="s">
        <v>6885</v>
      </c>
    </row>
    <row r="6927" spans="1:2" x14ac:dyDescent="0.3">
      <c r="A6927" s="7" t="str">
        <f>HYPERLINK("http://www.eatonpowersource.com/products/configure/industrial%20valves/details/846an00176a","846AN00176A")</f>
        <v>846AN00176A</v>
      </c>
      <c r="B6927" s="8" t="s">
        <v>6886</v>
      </c>
    </row>
    <row r="6928" spans="1:2" x14ac:dyDescent="0.3">
      <c r="A6928" s="5" t="str">
        <f>HYPERLINK("http://www.eatonpowersource.com/products/configure/industrial%20valves/details/846an00216a","846AN00216A")</f>
        <v>846AN00216A</v>
      </c>
      <c r="B6928" s="6" t="s">
        <v>6887</v>
      </c>
    </row>
    <row r="6929" spans="1:2" x14ac:dyDescent="0.3">
      <c r="A6929" s="7" t="str">
        <f>HYPERLINK("http://www.eatonpowersource.com/products/configure/industrial%20valves/details/846an00249a","846AN00249A")</f>
        <v>846AN00249A</v>
      </c>
      <c r="B6929" s="8" t="s">
        <v>6888</v>
      </c>
    </row>
    <row r="6930" spans="1:2" x14ac:dyDescent="0.3">
      <c r="A6930" s="5" t="str">
        <f>HYPERLINK("http://www.eatonpowersource.com/products/configure/industrial%20valves/details/846an00267a","846AN00267A")</f>
        <v>846AN00267A</v>
      </c>
      <c r="B6930" s="6" t="s">
        <v>6889</v>
      </c>
    </row>
    <row r="6931" spans="1:2" x14ac:dyDescent="0.3">
      <c r="A6931" s="7" t="str">
        <f>HYPERLINK("http://www.eatonpowersource.com/products/configure/industrial%20valves/details/846an00356a","846AN00356A")</f>
        <v>846AN00356A</v>
      </c>
      <c r="B6931" s="8" t="s">
        <v>6890</v>
      </c>
    </row>
    <row r="6932" spans="1:2" x14ac:dyDescent="0.3">
      <c r="A6932" s="5" t="str">
        <f>HYPERLINK("http://www.eatonpowersource.com/products/configure/industrial%20valves/details/846an00359a","846AN00359A")</f>
        <v>846AN00359A</v>
      </c>
      <c r="B6932" s="6" t="s">
        <v>6891</v>
      </c>
    </row>
    <row r="6933" spans="1:2" x14ac:dyDescent="0.3">
      <c r="A6933" s="7" t="str">
        <f>HYPERLINK("http://www.eatonpowersource.com/products/configure/industrial%20valves/details/847an00022a","847AN00022A")</f>
        <v>847AN00022A</v>
      </c>
      <c r="B6933" s="8" t="s">
        <v>6892</v>
      </c>
    </row>
    <row r="6934" spans="1:2" x14ac:dyDescent="0.3">
      <c r="A6934" s="5" t="str">
        <f>HYPERLINK("http://www.eatonpowersource.com/products/configure/industrial%20valves/details/847an00023a","847AN00023A")</f>
        <v>847AN00023A</v>
      </c>
      <c r="B6934" s="6" t="s">
        <v>6893</v>
      </c>
    </row>
    <row r="6935" spans="1:2" x14ac:dyDescent="0.3">
      <c r="A6935" s="7" t="str">
        <f>HYPERLINK("http://www.eatonpowersource.com/products/configure/industrial%20valves/details/847an00027a","847AN00027A")</f>
        <v>847AN00027A</v>
      </c>
      <c r="B6935" s="8" t="s">
        <v>6894</v>
      </c>
    </row>
    <row r="6936" spans="1:2" x14ac:dyDescent="0.3">
      <c r="A6936" s="5" t="str">
        <f>HYPERLINK("http://www.eatonpowersource.com/products/configure/industrial%20valves/details/847an00031a","847AN00031A")</f>
        <v>847AN00031A</v>
      </c>
      <c r="B6936" s="6" t="s">
        <v>6895</v>
      </c>
    </row>
    <row r="6937" spans="1:2" x14ac:dyDescent="0.3">
      <c r="A6937" s="7" t="str">
        <f>HYPERLINK("http://www.eatonpowersource.com/products/configure/industrial%20valves/details/847an00039a","847AN00039A")</f>
        <v>847AN00039A</v>
      </c>
      <c r="B6937" s="8" t="s">
        <v>6896</v>
      </c>
    </row>
    <row r="6938" spans="1:2" x14ac:dyDescent="0.3">
      <c r="A6938" s="5" t="str">
        <f>HYPERLINK("http://www.eatonpowersource.com/products/configure/industrial%20valves/details/847an00044a","847AN00044A")</f>
        <v>847AN00044A</v>
      </c>
      <c r="B6938" s="6" t="s">
        <v>6897</v>
      </c>
    </row>
    <row r="6939" spans="1:2" x14ac:dyDescent="0.3">
      <c r="A6939" s="7" t="str">
        <f>HYPERLINK("http://www.eatonpowersource.com/products/configure/industrial%20valves/details/847an00055a","847AN00055A")</f>
        <v>847AN00055A</v>
      </c>
      <c r="B6939" s="8" t="s">
        <v>6898</v>
      </c>
    </row>
    <row r="6940" spans="1:2" x14ac:dyDescent="0.3">
      <c r="A6940" s="5" t="str">
        <f>HYPERLINK("http://www.eatonpowersource.com/products/configure/industrial%20valves/details/847an00060a","847AN00060A")</f>
        <v>847AN00060A</v>
      </c>
      <c r="B6940" s="6" t="s">
        <v>6899</v>
      </c>
    </row>
    <row r="6941" spans="1:2" x14ac:dyDescent="0.3">
      <c r="A6941" s="7" t="str">
        <f>HYPERLINK("http://www.eatonpowersource.com/products/configure/industrial%20valves/details/847an00080a","847AN00080A")</f>
        <v>847AN00080A</v>
      </c>
      <c r="B6941" s="8" t="s">
        <v>6900</v>
      </c>
    </row>
    <row r="6942" spans="1:2" x14ac:dyDescent="0.3">
      <c r="A6942" s="5" t="str">
        <f>HYPERLINK("http://www.eatonpowersource.com/products/configure/industrial%20valves/details/847an00092a","847AN00092A")</f>
        <v>847AN00092A</v>
      </c>
      <c r="B6942" s="6" t="s">
        <v>6901</v>
      </c>
    </row>
    <row r="6943" spans="1:2" x14ac:dyDescent="0.3">
      <c r="A6943" s="7" t="str">
        <f>HYPERLINK("http://www.eatonpowersource.com/products/configure/industrial%20valves/details/847an00101a","847AN00101A")</f>
        <v>847AN00101A</v>
      </c>
      <c r="B6943" s="8" t="s">
        <v>6902</v>
      </c>
    </row>
    <row r="6944" spans="1:2" x14ac:dyDescent="0.3">
      <c r="A6944" s="5" t="str">
        <f>HYPERLINK("http://www.eatonpowersource.com/products/configure/industrial%20valves/details/847an00131a","847AN00131A")</f>
        <v>847AN00131A</v>
      </c>
      <c r="B6944" s="6" t="s">
        <v>6903</v>
      </c>
    </row>
    <row r="6945" spans="1:2" x14ac:dyDescent="0.3">
      <c r="A6945" s="7" t="str">
        <f>HYPERLINK("http://www.eatonpowersource.com/products/configure/industrial%20valves/details/847an00133a","847AN00133A")</f>
        <v>847AN00133A</v>
      </c>
      <c r="B6945" s="8" t="s">
        <v>6904</v>
      </c>
    </row>
    <row r="6946" spans="1:2" x14ac:dyDescent="0.3">
      <c r="A6946" s="5" t="str">
        <f>HYPERLINK("http://www.eatonpowersource.com/products/configure/industrial%20valves/details/847an00137a","847AN00137A")</f>
        <v>847AN00137A</v>
      </c>
      <c r="B6946" s="6" t="s">
        <v>6905</v>
      </c>
    </row>
    <row r="6947" spans="1:2" x14ac:dyDescent="0.3">
      <c r="A6947" s="7" t="str">
        <f>HYPERLINK("http://www.eatonpowersource.com/products/configure/industrial%20valves/details/847an00143a","847AN00143A")</f>
        <v>847AN00143A</v>
      </c>
      <c r="B6947" s="8" t="s">
        <v>6906</v>
      </c>
    </row>
    <row r="6948" spans="1:2" x14ac:dyDescent="0.3">
      <c r="A6948" s="5" t="str">
        <f>HYPERLINK("http://www.eatonpowersource.com/products/configure/industrial%20valves/details/847an00145a","847AN00145A")</f>
        <v>847AN00145A</v>
      </c>
      <c r="B6948" s="6" t="s">
        <v>6907</v>
      </c>
    </row>
    <row r="6949" spans="1:2" x14ac:dyDescent="0.3">
      <c r="A6949" s="7" t="str">
        <f>HYPERLINK("http://www.eatonpowersource.com/products/configure/industrial%20valves/details/847an00167a","847AN00167A")</f>
        <v>847AN00167A</v>
      </c>
      <c r="B6949" s="8" t="s">
        <v>6908</v>
      </c>
    </row>
    <row r="6950" spans="1:2" x14ac:dyDescent="0.3">
      <c r="A6950" s="5" t="str">
        <f>HYPERLINK("http://www.eatonpowersource.com/products/configure/industrial%20valves/details/847an00168a","847AN00168A")</f>
        <v>847AN00168A</v>
      </c>
      <c r="B6950" s="6" t="s">
        <v>6909</v>
      </c>
    </row>
    <row r="6951" spans="1:2" x14ac:dyDescent="0.3">
      <c r="A6951" s="7" t="str">
        <f>HYPERLINK("http://www.eatonpowersource.com/products/configure/industrial%20valves/details/847an00169a","847AN00169A")</f>
        <v>847AN00169A</v>
      </c>
      <c r="B6951" s="8" t="s">
        <v>6910</v>
      </c>
    </row>
    <row r="6952" spans="1:2" x14ac:dyDescent="0.3">
      <c r="A6952" s="5" t="str">
        <f>HYPERLINK("http://www.eatonpowersource.com/products/configure/industrial%20valves/details/847an00173a","847AN00173A")</f>
        <v>847AN00173A</v>
      </c>
      <c r="B6952" s="6" t="s">
        <v>6911</v>
      </c>
    </row>
    <row r="6953" spans="1:2" x14ac:dyDescent="0.3">
      <c r="A6953" s="7" t="str">
        <f>HYPERLINK("http://www.eatonpowersource.com/products/configure/industrial%20valves/details/847an00185a","847AN00185A")</f>
        <v>847AN00185A</v>
      </c>
      <c r="B6953" s="8" t="s">
        <v>6912</v>
      </c>
    </row>
    <row r="6954" spans="1:2" x14ac:dyDescent="0.3">
      <c r="A6954" s="5" t="str">
        <f>HYPERLINK("http://www.eatonpowersource.com/products/configure/industrial%20valves/details/847an00189a","847AN00189A")</f>
        <v>847AN00189A</v>
      </c>
      <c r="B6954" s="6" t="s">
        <v>6913</v>
      </c>
    </row>
    <row r="6955" spans="1:2" x14ac:dyDescent="0.3">
      <c r="A6955" s="7" t="str">
        <f>HYPERLINK("http://www.eatonpowersource.com/products/configure/industrial%20valves/details/847an00197a","847AN00197A")</f>
        <v>847AN00197A</v>
      </c>
      <c r="B6955" s="8" t="s">
        <v>6914</v>
      </c>
    </row>
    <row r="6956" spans="1:2" x14ac:dyDescent="0.3">
      <c r="A6956" s="5" t="str">
        <f>HYPERLINK("http://www.eatonpowersource.com/products/configure/industrial%20valves/details/847an00198a","847AN00198A")</f>
        <v>847AN00198A</v>
      </c>
      <c r="B6956" s="6" t="s">
        <v>6915</v>
      </c>
    </row>
    <row r="6957" spans="1:2" x14ac:dyDescent="0.3">
      <c r="A6957" s="7" t="str">
        <f>HYPERLINK("http://www.eatonpowersource.com/products/configure/industrial%20valves/details/847an00228a","847AN00228A")</f>
        <v>847AN00228A</v>
      </c>
      <c r="B6957" s="8" t="s">
        <v>6916</v>
      </c>
    </row>
    <row r="6958" spans="1:2" x14ac:dyDescent="0.3">
      <c r="A6958" s="5" t="str">
        <f>HYPERLINK("http://www.eatonpowersource.com/products/configure/industrial%20valves/details/847an00236a","847AN00236A")</f>
        <v>847AN00236A</v>
      </c>
      <c r="B6958" s="6" t="s">
        <v>6917</v>
      </c>
    </row>
    <row r="6959" spans="1:2" x14ac:dyDescent="0.3">
      <c r="A6959" s="7" t="str">
        <f>HYPERLINK("http://www.eatonpowersource.com/products/configure/industrial%20valves/details/869910","869910")</f>
        <v>869910</v>
      </c>
      <c r="B6959" s="8" t="s">
        <v>6918</v>
      </c>
    </row>
    <row r="6960" spans="1:2" x14ac:dyDescent="0.3">
      <c r="A6960" s="5" t="str">
        <f>HYPERLINK("http://www.eatonpowersource.com/products/configure/industrial%20valves/details/870802","870802")</f>
        <v>870802</v>
      </c>
      <c r="B6960" s="6" t="s">
        <v>6919</v>
      </c>
    </row>
    <row r="6961" spans="1:2" x14ac:dyDescent="0.3">
      <c r="A6961" s="7" t="str">
        <f>HYPERLINK("http://www.eatonpowersource.com/products/configure/industrial%20valves/details/871372","871372")</f>
        <v>871372</v>
      </c>
      <c r="B6961" s="8" t="s">
        <v>6920</v>
      </c>
    </row>
    <row r="6962" spans="1:2" x14ac:dyDescent="0.3">
      <c r="A6962" s="5" t="str">
        <f>HYPERLINK("http://www.eatonpowersource.com/products/configure/industrial%20valves/details/871374","871374")</f>
        <v>871374</v>
      </c>
      <c r="B6962" s="6" t="s">
        <v>6921</v>
      </c>
    </row>
    <row r="6963" spans="1:2" x14ac:dyDescent="0.3">
      <c r="A6963" s="7" t="str">
        <f>HYPERLINK("http://www.eatonpowersource.com/products/configure/industrial%20valves/details/871375","871375")</f>
        <v>871375</v>
      </c>
      <c r="B6963" s="8" t="s">
        <v>6922</v>
      </c>
    </row>
    <row r="6964" spans="1:2" x14ac:dyDescent="0.3">
      <c r="A6964" s="5" t="str">
        <f>HYPERLINK("http://www.eatonpowersource.com/products/configure/industrial%20valves/details/02-104806","02-104806")</f>
        <v>02-104806</v>
      </c>
      <c r="B6964" s="6" t="s">
        <v>6923</v>
      </c>
    </row>
    <row r="6965" spans="1:2" x14ac:dyDescent="0.3">
      <c r="A6965" s="7" t="str">
        <f>HYPERLINK("http://www.eatonpowersource.com/products/configure/industrial%20valves/details/02-104807","02-104807")</f>
        <v>02-104807</v>
      </c>
      <c r="B6965" s="8" t="s">
        <v>6924</v>
      </c>
    </row>
    <row r="6966" spans="1:2" x14ac:dyDescent="0.3">
      <c r="A6966" s="5" t="str">
        <f>HYPERLINK("http://www.eatonpowersource.com/products/configure/industrial%20valves/details/02-104808","02-104808")</f>
        <v>02-104808</v>
      </c>
      <c r="B6966" s="6" t="s">
        <v>6925</v>
      </c>
    </row>
    <row r="6967" spans="1:2" x14ac:dyDescent="0.3">
      <c r="A6967" s="7" t="str">
        <f>HYPERLINK("http://www.eatonpowersource.com/products/configure/industrial%20valves/details/02-104838","02-104838")</f>
        <v>02-104838</v>
      </c>
      <c r="B6967" s="8" t="s">
        <v>6926</v>
      </c>
    </row>
    <row r="6968" spans="1:2" x14ac:dyDescent="0.3">
      <c r="A6968" s="5" t="str">
        <f>HYPERLINK("http://www.eatonpowersource.com/products/configure/industrial%20valves/details/02-104839","02-104839")</f>
        <v>02-104839</v>
      </c>
      <c r="B6968" s="6" t="s">
        <v>6927</v>
      </c>
    </row>
    <row r="6969" spans="1:2" x14ac:dyDescent="0.3">
      <c r="A6969" s="7" t="str">
        <f>HYPERLINK("http://www.eatonpowersource.com/products/configure/industrial%20valves/details/02-104840","02-104840")</f>
        <v>02-104840</v>
      </c>
      <c r="B6969" s="8" t="s">
        <v>6928</v>
      </c>
    </row>
    <row r="6970" spans="1:2" x14ac:dyDescent="0.3">
      <c r="A6970" s="5" t="str">
        <f>HYPERLINK("http://www.eatonpowersource.com/products/configure/industrial%20valves/details/02-104842","02-104842")</f>
        <v>02-104842</v>
      </c>
      <c r="B6970" s="6" t="s">
        <v>6929</v>
      </c>
    </row>
    <row r="6971" spans="1:2" x14ac:dyDescent="0.3">
      <c r="A6971" s="7" t="str">
        <f>HYPERLINK("http://www.eatonpowersource.com/products/configure/industrial%20valves/details/02-104843","02-104843")</f>
        <v>02-104843</v>
      </c>
      <c r="B6971" s="8" t="s">
        <v>6930</v>
      </c>
    </row>
    <row r="6972" spans="1:2" x14ac:dyDescent="0.3">
      <c r="A6972" s="5" t="str">
        <f>HYPERLINK("http://www.eatonpowersource.com/products/configure/industrial%20valves/details/02-104845","02-104845")</f>
        <v>02-104845</v>
      </c>
      <c r="B6972" s="6" t="s">
        <v>6931</v>
      </c>
    </row>
    <row r="6973" spans="1:2" x14ac:dyDescent="0.3">
      <c r="A6973" s="7" t="str">
        <f>HYPERLINK("http://www.eatonpowersource.com/products/configure/industrial%20valves/details/02-326000","02-326000")</f>
        <v>02-326000</v>
      </c>
      <c r="B6973" s="8" t="s">
        <v>6932</v>
      </c>
    </row>
    <row r="6974" spans="1:2" x14ac:dyDescent="0.3">
      <c r="A6974" s="5" t="str">
        <f>HYPERLINK("http://www.eatonpowersource.com/products/configure/industrial%20valves/details/02-326001","02-326001")</f>
        <v>02-326001</v>
      </c>
      <c r="B6974" s="6" t="s">
        <v>6933</v>
      </c>
    </row>
    <row r="6975" spans="1:2" x14ac:dyDescent="0.3">
      <c r="A6975" s="7" t="str">
        <f>HYPERLINK("http://www.eatonpowersource.com/products/configure/industrial%20valves/details/02-326002","02-326002")</f>
        <v>02-326002</v>
      </c>
      <c r="B6975" s="8" t="s">
        <v>6934</v>
      </c>
    </row>
    <row r="6976" spans="1:2" x14ac:dyDescent="0.3">
      <c r="A6976" s="5" t="str">
        <f>HYPERLINK("http://www.eatonpowersource.com/products/configure/industrial%20valves/details/02-326003","02-326003")</f>
        <v>02-326003</v>
      </c>
      <c r="B6976" s="6" t="s">
        <v>6935</v>
      </c>
    </row>
    <row r="6977" spans="1:2" x14ac:dyDescent="0.3">
      <c r="A6977" s="7" t="str">
        <f>HYPERLINK("http://www.eatonpowersource.com/products/configure/industrial%20valves/details/02-326004","02-326004")</f>
        <v>02-326004</v>
      </c>
      <c r="B6977" s="8" t="s">
        <v>6936</v>
      </c>
    </row>
    <row r="6978" spans="1:2" x14ac:dyDescent="0.3">
      <c r="A6978" s="5" t="str">
        <f>HYPERLINK("http://www.eatonpowersource.com/products/configure/industrial%20valves/details/02-326005","02-326005")</f>
        <v>02-326005</v>
      </c>
      <c r="B6978" s="6" t="s">
        <v>6937</v>
      </c>
    </row>
    <row r="6979" spans="1:2" x14ac:dyDescent="0.3">
      <c r="A6979" s="7" t="str">
        <f>HYPERLINK("http://www.eatonpowersource.com/products/configure/industrial%20valves/details/02-326006","02-326006")</f>
        <v>02-326006</v>
      </c>
      <c r="B6979" s="8" t="s">
        <v>6938</v>
      </c>
    </row>
    <row r="6980" spans="1:2" x14ac:dyDescent="0.3">
      <c r="A6980" s="5" t="str">
        <f>HYPERLINK("http://www.eatonpowersource.com/products/configure/industrial%20valves/details/02-326007","02-326007")</f>
        <v>02-326007</v>
      </c>
      <c r="B6980" s="6" t="s">
        <v>6939</v>
      </c>
    </row>
    <row r="6981" spans="1:2" x14ac:dyDescent="0.3">
      <c r="A6981" s="7" t="str">
        <f>HYPERLINK("http://www.eatonpowersource.com/products/configure/industrial%20valves/details/02-326008","02-326008")</f>
        <v>02-326008</v>
      </c>
      <c r="B6981" s="8" t="s">
        <v>6940</v>
      </c>
    </row>
    <row r="6982" spans="1:2" x14ac:dyDescent="0.3">
      <c r="A6982" s="5" t="str">
        <f>HYPERLINK("http://www.eatonpowersource.com/products/configure/industrial%20valves/details/02-326009","02-326009")</f>
        <v>02-326009</v>
      </c>
      <c r="B6982" s="6" t="s">
        <v>6941</v>
      </c>
    </row>
    <row r="6983" spans="1:2" x14ac:dyDescent="0.3">
      <c r="A6983" s="7" t="str">
        <f>HYPERLINK("http://www.eatonpowersource.com/products/configure/industrial%20valves/details/02-326010","02-326010")</f>
        <v>02-326010</v>
      </c>
      <c r="B6983" s="8" t="s">
        <v>6942</v>
      </c>
    </row>
    <row r="6984" spans="1:2" x14ac:dyDescent="0.3">
      <c r="A6984" s="5" t="str">
        <f>HYPERLINK("http://www.eatonpowersource.com/products/configure/industrial%20valves/details/02-326011","02-326011")</f>
        <v>02-326011</v>
      </c>
      <c r="B6984" s="6" t="s">
        <v>6943</v>
      </c>
    </row>
    <row r="6985" spans="1:2" x14ac:dyDescent="0.3">
      <c r="A6985" s="7" t="str">
        <f>HYPERLINK("http://www.eatonpowersource.com/products/configure/industrial%20valves/details/02-326012","02-326012")</f>
        <v>02-326012</v>
      </c>
      <c r="B6985" s="8" t="s">
        <v>6944</v>
      </c>
    </row>
    <row r="6986" spans="1:2" x14ac:dyDescent="0.3">
      <c r="A6986" s="5" t="str">
        <f>HYPERLINK("http://www.eatonpowersource.com/products/configure/industrial%20valves/details/02-326013","02-326013")</f>
        <v>02-326013</v>
      </c>
      <c r="B6986" s="6" t="s">
        <v>6945</v>
      </c>
    </row>
    <row r="6987" spans="1:2" x14ac:dyDescent="0.3">
      <c r="A6987" s="7" t="str">
        <f>HYPERLINK("http://www.eatonpowersource.com/products/configure/industrial%20valves/details/02-326014","02-326014")</f>
        <v>02-326014</v>
      </c>
      <c r="B6987" s="8" t="s">
        <v>6946</v>
      </c>
    </row>
    <row r="6988" spans="1:2" x14ac:dyDescent="0.3">
      <c r="A6988" s="5" t="str">
        <f>HYPERLINK("http://www.eatonpowersource.com/products/configure/industrial%20valves/details/02-326016","02-326016")</f>
        <v>02-326016</v>
      </c>
      <c r="B6988" s="6" t="s">
        <v>6947</v>
      </c>
    </row>
    <row r="6989" spans="1:2" x14ac:dyDescent="0.3">
      <c r="A6989" s="7" t="str">
        <f>HYPERLINK("http://www.eatonpowersource.com/products/configure/industrial%20valves/details/02-326017","02-326017")</f>
        <v>02-326017</v>
      </c>
      <c r="B6989" s="8" t="s">
        <v>6948</v>
      </c>
    </row>
    <row r="6990" spans="1:2" x14ac:dyDescent="0.3">
      <c r="A6990" s="5" t="str">
        <f>HYPERLINK("http://www.eatonpowersource.com/products/configure/industrial%20valves/details/02-326018","02-326018")</f>
        <v>02-326018</v>
      </c>
      <c r="B6990" s="6" t="s">
        <v>6949</v>
      </c>
    </row>
    <row r="6991" spans="1:2" x14ac:dyDescent="0.3">
      <c r="A6991" s="7" t="str">
        <f>HYPERLINK("http://www.eatonpowersource.com/products/configure/industrial%20valves/details/02-326019","02-326019")</f>
        <v>02-326019</v>
      </c>
      <c r="B6991" s="8" t="s">
        <v>6950</v>
      </c>
    </row>
    <row r="6992" spans="1:2" x14ac:dyDescent="0.3">
      <c r="A6992" s="5" t="str">
        <f>HYPERLINK("http://www.eatonpowersource.com/products/configure/industrial%20valves/details/02-326020","02-326020")</f>
        <v>02-326020</v>
      </c>
      <c r="B6992" s="6" t="s">
        <v>6951</v>
      </c>
    </row>
    <row r="6993" spans="1:2" x14ac:dyDescent="0.3">
      <c r="A6993" s="7" t="str">
        <f>HYPERLINK("http://www.eatonpowersource.com/products/configure/industrial%20valves/details/02-326021","02-326021")</f>
        <v>02-326021</v>
      </c>
      <c r="B6993" s="8" t="s">
        <v>6952</v>
      </c>
    </row>
    <row r="6994" spans="1:2" x14ac:dyDescent="0.3">
      <c r="A6994" s="5" t="str">
        <f>HYPERLINK("http://www.eatonpowersource.com/products/configure/industrial%20valves/details/02-326022","02-326022")</f>
        <v>02-326022</v>
      </c>
      <c r="B6994" s="6" t="s">
        <v>6953</v>
      </c>
    </row>
    <row r="6995" spans="1:2" x14ac:dyDescent="0.3">
      <c r="A6995" s="7" t="str">
        <f>HYPERLINK("http://www.eatonpowersource.com/products/configure/industrial%20valves/details/02-326023","02-326023")</f>
        <v>02-326023</v>
      </c>
      <c r="B6995" s="8" t="s">
        <v>6954</v>
      </c>
    </row>
    <row r="6996" spans="1:2" x14ac:dyDescent="0.3">
      <c r="A6996" s="5" t="str">
        <f>HYPERLINK("http://www.eatonpowersource.com/products/configure/industrial%20valves/details/02-326024","02-326024")</f>
        <v>02-326024</v>
      </c>
      <c r="B6996" s="6" t="s">
        <v>6955</v>
      </c>
    </row>
    <row r="6997" spans="1:2" x14ac:dyDescent="0.3">
      <c r="A6997" s="7" t="str">
        <f>HYPERLINK("http://www.eatonpowersource.com/products/configure/industrial%20valves/details/02-326025","02-326025")</f>
        <v>02-326025</v>
      </c>
      <c r="B6997" s="8" t="s">
        <v>6956</v>
      </c>
    </row>
    <row r="6998" spans="1:2" x14ac:dyDescent="0.3">
      <c r="A6998" s="5" t="str">
        <f>HYPERLINK("http://www.eatonpowersource.com/products/configure/industrial%20valves/details/02-326029","02-326029")</f>
        <v>02-326029</v>
      </c>
      <c r="B6998" s="6" t="s">
        <v>6957</v>
      </c>
    </row>
    <row r="6999" spans="1:2" x14ac:dyDescent="0.3">
      <c r="A6999" s="7" t="str">
        <f>HYPERLINK("http://www.eatonpowersource.com/products/configure/industrial%20valves/details/02-326030","02-326030")</f>
        <v>02-326030</v>
      </c>
      <c r="B6999" s="8" t="s">
        <v>6958</v>
      </c>
    </row>
    <row r="7000" spans="1:2" x14ac:dyDescent="0.3">
      <c r="A7000" s="5" t="str">
        <f>HYPERLINK("http://www.eatonpowersource.com/products/configure/industrial%20valves/details/02-326031","02-326031")</f>
        <v>02-326031</v>
      </c>
      <c r="B7000" s="6" t="s">
        <v>6959</v>
      </c>
    </row>
    <row r="7001" spans="1:2" x14ac:dyDescent="0.3">
      <c r="A7001" s="7" t="str">
        <f>HYPERLINK("http://www.eatonpowersource.com/products/configure/industrial%20valves/details/02-326032","02-326032")</f>
        <v>02-326032</v>
      </c>
      <c r="B7001" s="8" t="s">
        <v>6960</v>
      </c>
    </row>
    <row r="7002" spans="1:2" x14ac:dyDescent="0.3">
      <c r="A7002" s="5" t="str">
        <f>HYPERLINK("http://www.eatonpowersource.com/products/configure/industrial%20valves/details/02-326033","02-326033")</f>
        <v>02-326033</v>
      </c>
      <c r="B7002" s="6" t="s">
        <v>6961</v>
      </c>
    </row>
    <row r="7003" spans="1:2" x14ac:dyDescent="0.3">
      <c r="A7003" s="7" t="str">
        <f>HYPERLINK("http://www.eatonpowersource.com/products/configure/industrial%20valves/details/02-326035","02-326035")</f>
        <v>02-326035</v>
      </c>
      <c r="B7003" s="8" t="s">
        <v>6962</v>
      </c>
    </row>
    <row r="7004" spans="1:2" x14ac:dyDescent="0.3">
      <c r="A7004" s="5" t="str">
        <f>HYPERLINK("http://www.eatonpowersource.com/products/configure/industrial%20valves/details/02-326037","02-326037")</f>
        <v>02-326037</v>
      </c>
      <c r="B7004" s="6" t="s">
        <v>6963</v>
      </c>
    </row>
    <row r="7005" spans="1:2" x14ac:dyDescent="0.3">
      <c r="A7005" s="7" t="str">
        <f>HYPERLINK("http://www.eatonpowersource.com/products/configure/industrial%20valves/details/02-326038","02-326038")</f>
        <v>02-326038</v>
      </c>
      <c r="B7005" s="8" t="s">
        <v>6964</v>
      </c>
    </row>
    <row r="7006" spans="1:2" x14ac:dyDescent="0.3">
      <c r="A7006" s="5" t="str">
        <f>HYPERLINK("http://www.eatonpowersource.com/products/configure/industrial%20valves/details/02-326040","02-326040")</f>
        <v>02-326040</v>
      </c>
      <c r="B7006" s="6" t="s">
        <v>6965</v>
      </c>
    </row>
    <row r="7007" spans="1:2" x14ac:dyDescent="0.3">
      <c r="A7007" s="7" t="str">
        <f>HYPERLINK("http://www.eatonpowersource.com/products/configure/industrial%20valves/details/02-326041","02-326041")</f>
        <v>02-326041</v>
      </c>
      <c r="B7007" s="8" t="s">
        <v>6966</v>
      </c>
    </row>
    <row r="7008" spans="1:2" x14ac:dyDescent="0.3">
      <c r="A7008" s="5" t="str">
        <f>HYPERLINK("http://www.eatonpowersource.com/products/configure/industrial%20valves/details/02-326043","02-326043")</f>
        <v>02-326043</v>
      </c>
      <c r="B7008" s="6" t="s">
        <v>6967</v>
      </c>
    </row>
    <row r="7009" spans="1:2" x14ac:dyDescent="0.3">
      <c r="A7009" s="7" t="str">
        <f>HYPERLINK("http://www.eatonpowersource.com/products/configure/industrial%20valves/details/02-326047","02-326047")</f>
        <v>02-326047</v>
      </c>
      <c r="B7009" s="8" t="s">
        <v>6968</v>
      </c>
    </row>
    <row r="7010" spans="1:2" x14ac:dyDescent="0.3">
      <c r="A7010" s="5" t="str">
        <f>HYPERLINK("http://www.eatonpowersource.com/products/configure/industrial%20valves/details/02-326050","02-326050")</f>
        <v>02-326050</v>
      </c>
      <c r="B7010" s="6" t="s">
        <v>6969</v>
      </c>
    </row>
    <row r="7011" spans="1:2" x14ac:dyDescent="0.3">
      <c r="A7011" s="7" t="str">
        <f>HYPERLINK("http://www.eatonpowersource.com/products/configure/industrial%20valves/details/02-326059","02-326059")</f>
        <v>02-326059</v>
      </c>
      <c r="B7011" s="8" t="s">
        <v>6970</v>
      </c>
    </row>
    <row r="7012" spans="1:2" x14ac:dyDescent="0.3">
      <c r="A7012" s="5" t="str">
        <f>HYPERLINK("http://www.eatonpowersource.com/products/configure/industrial%20valves/details/02-326060","02-326060")</f>
        <v>02-326060</v>
      </c>
      <c r="B7012" s="6" t="s">
        <v>6971</v>
      </c>
    </row>
    <row r="7013" spans="1:2" x14ac:dyDescent="0.3">
      <c r="A7013" s="7" t="str">
        <f>HYPERLINK("http://www.eatonpowersource.com/products/configure/industrial%20valves/details/02-326061","02-326061")</f>
        <v>02-326061</v>
      </c>
      <c r="B7013" s="8" t="s">
        <v>6972</v>
      </c>
    </row>
    <row r="7014" spans="1:2" x14ac:dyDescent="0.3">
      <c r="A7014" s="5" t="str">
        <f>HYPERLINK("http://www.eatonpowersource.com/products/configure/industrial%20valves/details/02-326065","02-326065")</f>
        <v>02-326065</v>
      </c>
      <c r="B7014" s="6" t="s">
        <v>6973</v>
      </c>
    </row>
    <row r="7015" spans="1:2" x14ac:dyDescent="0.3">
      <c r="A7015" s="7" t="str">
        <f>HYPERLINK("http://www.eatonpowersource.com/products/configure/industrial%20valves/details/02-326089","02-326089")</f>
        <v>02-326089</v>
      </c>
      <c r="B7015" s="8" t="s">
        <v>6974</v>
      </c>
    </row>
    <row r="7016" spans="1:2" x14ac:dyDescent="0.3">
      <c r="A7016" s="5" t="str">
        <f>HYPERLINK("http://www.eatonpowersource.com/products/configure/industrial%20valves/details/02-326120","02-326120")</f>
        <v>02-326120</v>
      </c>
      <c r="B7016" s="6" t="s">
        <v>6975</v>
      </c>
    </row>
    <row r="7017" spans="1:2" x14ac:dyDescent="0.3">
      <c r="A7017" s="7" t="str">
        <f>HYPERLINK("http://www.eatonpowersource.com/products/configure/industrial%20valves/details/107ec20301a","107EC20301A")</f>
        <v>107EC20301A</v>
      </c>
      <c r="B7017" s="8" t="s">
        <v>6976</v>
      </c>
    </row>
    <row r="7018" spans="1:2" x14ac:dyDescent="0.3">
      <c r="A7018" s="5" t="str">
        <f>HYPERLINK("http://www.eatonpowersource.com/products/configure/industrial%20valves/details/107ec99003a","107EC99003A")</f>
        <v>107EC99003A</v>
      </c>
      <c r="B7018" s="6" t="s">
        <v>6977</v>
      </c>
    </row>
    <row r="7019" spans="1:2" x14ac:dyDescent="0.3">
      <c r="A7019" s="7" t="str">
        <f>HYPERLINK("http://www.eatonpowersource.com/products/configure/industrial%20valves/details/107ec99004a","107EC99004A")</f>
        <v>107EC99004A</v>
      </c>
      <c r="B7019" s="8" t="s">
        <v>6978</v>
      </c>
    </row>
    <row r="7020" spans="1:2" x14ac:dyDescent="0.3">
      <c r="A7020" s="5" t="str">
        <f>HYPERLINK("http://www.eatonpowersource.com/products/configure/industrial%20valves/details/478693","478693")</f>
        <v>478693</v>
      </c>
      <c r="B7020" s="6" t="s">
        <v>6979</v>
      </c>
    </row>
    <row r="7021" spans="1:2" x14ac:dyDescent="0.3">
      <c r="A7021" s="7" t="str">
        <f>HYPERLINK("http://www.eatonpowersource.com/products/configure/industrial%20valves/details/5995381-001","5995381-001")</f>
        <v>5995381-001</v>
      </c>
      <c r="B7021" s="8" t="s">
        <v>6980</v>
      </c>
    </row>
    <row r="7022" spans="1:2" x14ac:dyDescent="0.3">
      <c r="A7022" s="5" t="str">
        <f>HYPERLINK("http://www.eatonpowersource.com/products/configure/industrial%20valves/details/5995381-002","5995381-002")</f>
        <v>5995381-002</v>
      </c>
      <c r="B7022" s="6" t="s">
        <v>6981</v>
      </c>
    </row>
    <row r="7023" spans="1:2" x14ac:dyDescent="0.3">
      <c r="A7023" s="7" t="str">
        <f>HYPERLINK("http://www.eatonpowersource.com/products/configure/industrial%20valves/details/5995381-003","5995381-003")</f>
        <v>5995381-003</v>
      </c>
      <c r="B7023" s="8" t="s">
        <v>6982</v>
      </c>
    </row>
    <row r="7024" spans="1:2" x14ac:dyDescent="0.3">
      <c r="A7024" s="5" t="str">
        <f>HYPERLINK("http://www.eatonpowersource.com/products/configure/industrial%20valves/details/6024153-001","6024153-001")</f>
        <v>6024153-001</v>
      </c>
      <c r="B7024" s="6" t="s">
        <v>6983</v>
      </c>
    </row>
    <row r="7025" spans="1:2" x14ac:dyDescent="0.3">
      <c r="A7025" s="7" t="str">
        <f>HYPERLINK("http://www.eatonpowersource.com/products/configure/industrial%20valves/details/6024153-002","6024153-002")</f>
        <v>6024153-002</v>
      </c>
      <c r="B7025" s="8" t="s">
        <v>6984</v>
      </c>
    </row>
    <row r="7026" spans="1:2" x14ac:dyDescent="0.3">
      <c r="A7026" s="5" t="str">
        <f>HYPERLINK("http://www.eatonpowersource.com/products/configure/industrial%20valves/details/6024153-003","6024153-003")</f>
        <v>6024153-003</v>
      </c>
      <c r="B7026" s="6" t="s">
        <v>6985</v>
      </c>
    </row>
    <row r="7027" spans="1:2" x14ac:dyDescent="0.3">
      <c r="A7027" s="7" t="str">
        <f>HYPERLINK("http://www.eatonpowersource.com/products/configure/industrial%20valves/details/6024153-004","6024153-004")</f>
        <v>6024153-004</v>
      </c>
      <c r="B7027" s="8" t="s">
        <v>6986</v>
      </c>
    </row>
    <row r="7028" spans="1:2" x14ac:dyDescent="0.3">
      <c r="A7028" s="5" t="str">
        <f>HYPERLINK("http://www.eatonpowersource.com/products/configure/industrial%20valves/details/6024153-006","6024153-006")</f>
        <v>6024153-006</v>
      </c>
      <c r="B7028" s="6" t="s">
        <v>6987</v>
      </c>
    </row>
    <row r="7029" spans="1:2" x14ac:dyDescent="0.3">
      <c r="A7029" s="7" t="str">
        <f>HYPERLINK("http://www.eatonpowersource.com/products/configure/industrial%20valves/details/6024153-007","6024153-007")</f>
        <v>6024153-007</v>
      </c>
      <c r="B7029" s="8" t="s">
        <v>6988</v>
      </c>
    </row>
    <row r="7030" spans="1:2" x14ac:dyDescent="0.3">
      <c r="A7030" s="5" t="str">
        <f>HYPERLINK("http://www.eatonpowersource.com/products/configure/industrial%20valves/details/6024153-009","6024153-009")</f>
        <v>6024153-009</v>
      </c>
      <c r="B7030" s="6" t="s">
        <v>6989</v>
      </c>
    </row>
    <row r="7031" spans="1:2" x14ac:dyDescent="0.3">
      <c r="A7031" s="7" t="str">
        <f>HYPERLINK("http://www.eatonpowersource.com/products/configure/industrial%20valves/details/6024153-010","6024153-010")</f>
        <v>6024153-010</v>
      </c>
      <c r="B7031" s="8" t="s">
        <v>6990</v>
      </c>
    </row>
    <row r="7032" spans="1:2" x14ac:dyDescent="0.3">
      <c r="A7032" s="5" t="str">
        <f>HYPERLINK("http://www.eatonpowersource.com/products/configure/pumps/details/02-319111","02-319111")</f>
        <v>02-319111</v>
      </c>
      <c r="B7032" s="6" t="s">
        <v>6991</v>
      </c>
    </row>
    <row r="7033" spans="1:2" x14ac:dyDescent="0.3">
      <c r="A7033" s="7" t="str">
        <f>HYPERLINK("http://www.eatonpowersource.com/products/configure/pumps/details/02-346962","02-346962")</f>
        <v>02-346962</v>
      </c>
      <c r="B7033" s="8" t="s">
        <v>6992</v>
      </c>
    </row>
    <row r="7034" spans="1:2" x14ac:dyDescent="0.3">
      <c r="A7034" s="5" t="str">
        <f>HYPERLINK("http://www.eatonpowersource.com/products/configure/pumps/details/02-346964","02-346964")</f>
        <v>02-346964</v>
      </c>
      <c r="B7034" s="6" t="s">
        <v>6993</v>
      </c>
    </row>
    <row r="7035" spans="1:2" x14ac:dyDescent="0.3">
      <c r="A7035" s="7" t="str">
        <f>HYPERLINK("http://www.eatonpowersource.com/products/configure/pumps/details/02-346966","02-346966")</f>
        <v>02-346966</v>
      </c>
      <c r="B7035" s="8" t="s">
        <v>6994</v>
      </c>
    </row>
    <row r="7036" spans="1:2" x14ac:dyDescent="0.3">
      <c r="A7036" s="5" t="str">
        <f>HYPERLINK("http://www.eatonpowersource.com/products/configure/pumps/details/02-346968","02-346968")</f>
        <v>02-346968</v>
      </c>
      <c r="B7036" s="6" t="s">
        <v>6995</v>
      </c>
    </row>
    <row r="7037" spans="1:2" x14ac:dyDescent="0.3">
      <c r="A7037" s="7" t="str">
        <f>HYPERLINK("http://www.eatonpowersource.com/products/configure/pumps/details/02-346968-l","02-346968-L")</f>
        <v>02-346968-L</v>
      </c>
      <c r="B7037" s="8" t="s">
        <v>6996</v>
      </c>
    </row>
    <row r="7038" spans="1:2" x14ac:dyDescent="0.3">
      <c r="A7038" s="5" t="str">
        <f>HYPERLINK("http://www.eatonpowersource.com/products/configure/pumps/details/02-346970","02-346970")</f>
        <v>02-346970</v>
      </c>
      <c r="B7038" s="6" t="s">
        <v>6997</v>
      </c>
    </row>
    <row r="7039" spans="1:2" x14ac:dyDescent="0.3">
      <c r="A7039" s="7" t="str">
        <f>HYPERLINK("http://www.eatonpowersource.com/products/configure/pumps/details/02-346970-l","02-346970-L")</f>
        <v>02-346970-L</v>
      </c>
      <c r="B7039" s="8" t="s">
        <v>6998</v>
      </c>
    </row>
    <row r="7040" spans="1:2" x14ac:dyDescent="0.3">
      <c r="A7040" s="5" t="str">
        <f>HYPERLINK("http://www.eatonpowersource.com/products/configure/pumps/details/02-346978","02-346978")</f>
        <v>02-346978</v>
      </c>
      <c r="B7040" s="6" t="s">
        <v>6999</v>
      </c>
    </row>
    <row r="7041" spans="1:2" x14ac:dyDescent="0.3">
      <c r="A7041" s="7" t="str">
        <f>HYPERLINK("http://www.eatonpowersource.com/products/configure/pumps/details/02-346979","02-346979")</f>
        <v>02-346979</v>
      </c>
      <c r="B7041" s="8" t="s">
        <v>7000</v>
      </c>
    </row>
    <row r="7042" spans="1:2" x14ac:dyDescent="0.3">
      <c r="A7042" s="5" t="str">
        <f>HYPERLINK("http://www.eatonpowersource.com/products/configure/pumps/details/02-346980","02-346980")</f>
        <v>02-346980</v>
      </c>
      <c r="B7042" s="6" t="s">
        <v>7001</v>
      </c>
    </row>
    <row r="7043" spans="1:2" x14ac:dyDescent="0.3">
      <c r="A7043" s="7" t="str">
        <f>HYPERLINK("http://www.eatonpowersource.com/products/configure/pumps/details/02-346982","02-346982")</f>
        <v>02-346982</v>
      </c>
      <c r="B7043" s="8" t="s">
        <v>7002</v>
      </c>
    </row>
    <row r="7044" spans="1:2" x14ac:dyDescent="0.3">
      <c r="A7044" s="5" t="str">
        <f>HYPERLINK("http://www.eatonpowersource.com/products/configure/pumps/details/02-346993","02-346993")</f>
        <v>02-346993</v>
      </c>
      <c r="B7044" s="6" t="s">
        <v>7003</v>
      </c>
    </row>
    <row r="7045" spans="1:2" x14ac:dyDescent="0.3">
      <c r="A7045" s="7" t="str">
        <f>HYPERLINK("http://www.eatonpowersource.com/products/configure/pumps/details/02-346999","02-346999")</f>
        <v>02-346999</v>
      </c>
      <c r="B7045" s="8" t="s">
        <v>7004</v>
      </c>
    </row>
    <row r="7046" spans="1:2" x14ac:dyDescent="0.3">
      <c r="A7046" s="5" t="str">
        <f>HYPERLINK("http://www.eatonpowersource.com/products/configure/pumps/details/02-347001","02-347001")</f>
        <v>02-347001</v>
      </c>
      <c r="B7046" s="6" t="s">
        <v>7005</v>
      </c>
    </row>
    <row r="7047" spans="1:2" x14ac:dyDescent="0.3">
      <c r="A7047" s="7" t="str">
        <f>HYPERLINK("http://www.eatonpowersource.com/products/configure/pumps/details/02-347009","02-347009")</f>
        <v>02-347009</v>
      </c>
      <c r="B7047" s="8" t="s">
        <v>7006</v>
      </c>
    </row>
    <row r="7048" spans="1:2" x14ac:dyDescent="0.3">
      <c r="A7048" s="5" t="str">
        <f>HYPERLINK("http://www.eatonpowersource.com/products/configure/pumps/details/02-347011","02-347011")</f>
        <v>02-347011</v>
      </c>
      <c r="B7048" s="6" t="s">
        <v>7007</v>
      </c>
    </row>
    <row r="7049" spans="1:2" x14ac:dyDescent="0.3">
      <c r="A7049" s="7" t="str">
        <f>HYPERLINK("http://www.eatonpowersource.com/products/configure/pumps/details/02-347102","02-347102")</f>
        <v>02-347102</v>
      </c>
      <c r="B7049" s="8" t="s">
        <v>7008</v>
      </c>
    </row>
    <row r="7050" spans="1:2" x14ac:dyDescent="0.3">
      <c r="A7050" s="5" t="str">
        <f>HYPERLINK("http://www.eatonpowersource.com/products/configure/pumps/details/02-348181","02-348181")</f>
        <v>02-348181</v>
      </c>
      <c r="B7050" s="6" t="s">
        <v>7009</v>
      </c>
    </row>
    <row r="7051" spans="1:2" x14ac:dyDescent="0.3">
      <c r="A7051" s="7" t="str">
        <f>HYPERLINK("http://www.eatonpowersource.com/products/configure/pumps/details/02-348974","02-348974")</f>
        <v>02-348974</v>
      </c>
      <c r="B7051" s="8" t="s">
        <v>7010</v>
      </c>
    </row>
    <row r="7052" spans="1:2" x14ac:dyDescent="0.3">
      <c r="A7052" s="5" t="str">
        <f>HYPERLINK("http://www.eatonpowersource.com/products/configure/pumps/details/02-348975","02-348975")</f>
        <v>02-348975</v>
      </c>
      <c r="B7052" s="6" t="s">
        <v>7011</v>
      </c>
    </row>
    <row r="7053" spans="1:2" x14ac:dyDescent="0.3">
      <c r="A7053" s="7" t="str">
        <f>HYPERLINK("http://www.eatonpowersource.com/products/configure/pumps/details/02-348976","02-348976")</f>
        <v>02-348976</v>
      </c>
      <c r="B7053" s="8" t="s">
        <v>7012</v>
      </c>
    </row>
    <row r="7054" spans="1:2" x14ac:dyDescent="0.3">
      <c r="A7054" s="5" t="str">
        <f>HYPERLINK("http://www.eatonpowersource.com/products/configure/pumps/details/02-348977","02-348977")</f>
        <v>02-348977</v>
      </c>
      <c r="B7054" s="6" t="s">
        <v>7013</v>
      </c>
    </row>
    <row r="7055" spans="1:2" x14ac:dyDescent="0.3">
      <c r="A7055" s="7" t="str">
        <f>HYPERLINK("http://www.eatonpowersource.com/products/configure/pumps/details/02-348978","02-348978")</f>
        <v>02-348978</v>
      </c>
      <c r="B7055" s="8" t="s">
        <v>7014</v>
      </c>
    </row>
    <row r="7056" spans="1:2" x14ac:dyDescent="0.3">
      <c r="A7056" s="5" t="str">
        <f>HYPERLINK("http://www.eatonpowersource.com/products/configure/pumps/details/02-348978-l","02-348978-L")</f>
        <v>02-348978-L</v>
      </c>
      <c r="B7056" s="6" t="s">
        <v>7015</v>
      </c>
    </row>
    <row r="7057" spans="1:2" x14ac:dyDescent="0.3">
      <c r="A7057" s="7" t="str">
        <f>HYPERLINK("http://www.eatonpowersource.com/products/configure/pumps/details/02-348979","02-348979")</f>
        <v>02-348979</v>
      </c>
      <c r="B7057" s="8" t="s">
        <v>7016</v>
      </c>
    </row>
    <row r="7058" spans="1:2" x14ac:dyDescent="0.3">
      <c r="A7058" s="5" t="str">
        <f>HYPERLINK("http://www.eatonpowersource.com/products/configure/pumps/details/02-348980","02-348980")</f>
        <v>02-348980</v>
      </c>
      <c r="B7058" s="6" t="s">
        <v>7017</v>
      </c>
    </row>
    <row r="7059" spans="1:2" x14ac:dyDescent="0.3">
      <c r="A7059" s="7" t="str">
        <f>HYPERLINK("http://www.eatonpowersource.com/products/configure/pumps/details/02-465547","02-465547")</f>
        <v>02-465547</v>
      </c>
      <c r="B7059" s="8" t="s">
        <v>7018</v>
      </c>
    </row>
    <row r="7060" spans="1:2" x14ac:dyDescent="0.3">
      <c r="A7060" s="5" t="str">
        <f>HYPERLINK("http://www.eatonpowersource.com/products/configure/pumps/details/02-465547-l","02-465547-L")</f>
        <v>02-465547-L</v>
      </c>
      <c r="B7060" s="6" t="s">
        <v>7019</v>
      </c>
    </row>
    <row r="7061" spans="1:2" x14ac:dyDescent="0.3">
      <c r="A7061" s="7" t="str">
        <f>HYPERLINK("http://www.eatonpowersource.com/products/configure/pumps/details/02-465549","02-465549")</f>
        <v>02-465549</v>
      </c>
      <c r="B7061" s="8" t="s">
        <v>7020</v>
      </c>
    </row>
    <row r="7062" spans="1:2" x14ac:dyDescent="0.3">
      <c r="A7062" s="5" t="str">
        <f>HYPERLINK("http://www.eatonpowersource.com/products/configure/pumps/details/02-465549-l","02-465549-L")</f>
        <v>02-465549-L</v>
      </c>
      <c r="B7062" s="6" t="s">
        <v>7020</v>
      </c>
    </row>
    <row r="7063" spans="1:2" x14ac:dyDescent="0.3">
      <c r="A7063" s="7" t="str">
        <f>HYPERLINK("http://www.eatonpowersource.com/products/configure/pumps/details/02-465564","02-465564")</f>
        <v>02-465564</v>
      </c>
      <c r="B7063" s="8" t="s">
        <v>7021</v>
      </c>
    </row>
    <row r="7064" spans="1:2" x14ac:dyDescent="0.3">
      <c r="A7064" s="5" t="str">
        <f>HYPERLINK("http://www.eatonpowersource.com/products/configure/pumps/details/02-465565","02-465565")</f>
        <v>02-465565</v>
      </c>
      <c r="B7064" s="6" t="s">
        <v>7022</v>
      </c>
    </row>
    <row r="7065" spans="1:2" x14ac:dyDescent="0.3">
      <c r="A7065" s="7" t="str">
        <f>HYPERLINK("http://www.eatonpowersource.com/products/configure/pumps/details/02-465570","02-465570")</f>
        <v>02-465570</v>
      </c>
      <c r="B7065" s="8" t="s">
        <v>7023</v>
      </c>
    </row>
    <row r="7066" spans="1:2" x14ac:dyDescent="0.3">
      <c r="A7066" s="5" t="str">
        <f>HYPERLINK("http://www.eatonpowersource.com/products/configure/pumps/details/02-465575","02-465575")</f>
        <v>02-465575</v>
      </c>
      <c r="B7066" s="6" t="s">
        <v>7024</v>
      </c>
    </row>
    <row r="7067" spans="1:2" x14ac:dyDescent="0.3">
      <c r="A7067" s="7" t="str">
        <f>HYPERLINK("http://www.eatonpowersource.com/products/configure/pumps/details/02-465577","02-465577")</f>
        <v>02-465577</v>
      </c>
      <c r="B7067" s="8" t="s">
        <v>7025</v>
      </c>
    </row>
    <row r="7068" spans="1:2" x14ac:dyDescent="0.3">
      <c r="A7068" s="5" t="str">
        <f>HYPERLINK("http://www.eatonpowersource.com/products/configure/pumps/details/02-465578","02-465578")</f>
        <v>02-465578</v>
      </c>
      <c r="B7068" s="6" t="s">
        <v>7026</v>
      </c>
    </row>
    <row r="7069" spans="1:2" x14ac:dyDescent="0.3">
      <c r="A7069" s="7" t="str">
        <f>HYPERLINK("http://www.eatonpowersource.com/products/configure/pumps/details/02-465621","02-465621")</f>
        <v>02-465621</v>
      </c>
      <c r="B7069" s="8" t="s">
        <v>7027</v>
      </c>
    </row>
    <row r="7070" spans="1:2" x14ac:dyDescent="0.3">
      <c r="A7070" s="5" t="str">
        <f>HYPERLINK("http://www.eatonpowersource.com/products/configure/pumps/details/02-465621-l","02-465621-L")</f>
        <v>02-465621-L</v>
      </c>
      <c r="B7070" s="6" t="s">
        <v>7027</v>
      </c>
    </row>
    <row r="7071" spans="1:2" x14ac:dyDescent="0.3">
      <c r="A7071" s="7" t="str">
        <f>HYPERLINK("http://www.eatonpowersource.com/products/configure/pumps/details/02-465685","02-465685")</f>
        <v>02-465685</v>
      </c>
      <c r="B7071" s="8" t="s">
        <v>7027</v>
      </c>
    </row>
    <row r="7072" spans="1:2" x14ac:dyDescent="0.3">
      <c r="A7072" s="5" t="str">
        <f>HYPERLINK("http://www.eatonpowersource.com/products/configure/pumps/details/02-465689","02-465689")</f>
        <v>02-465689</v>
      </c>
      <c r="B7072" s="6" t="s">
        <v>7028</v>
      </c>
    </row>
    <row r="7073" spans="1:2" x14ac:dyDescent="0.3">
      <c r="A7073" s="7" t="str">
        <f>HYPERLINK("http://www.eatonpowersource.com/products/configure/pumps/details/02-465689-l","02-465689-L")</f>
        <v>02-465689-L</v>
      </c>
      <c r="B7073" s="8" t="s">
        <v>7029</v>
      </c>
    </row>
    <row r="7074" spans="1:2" x14ac:dyDescent="0.3">
      <c r="A7074" s="5" t="str">
        <f>HYPERLINK("http://www.eatonpowersource.com/products/configure/pumps/details/209890","209890")</f>
        <v>209890</v>
      </c>
      <c r="B7074" s="6" t="s">
        <v>7030</v>
      </c>
    </row>
    <row r="7075" spans="1:2" x14ac:dyDescent="0.3">
      <c r="A7075" s="7" t="str">
        <f>HYPERLINK("http://www.eatonpowersource.com/products/configure/pumps/details/708-0002-032","708-0002-032")</f>
        <v>708-0002-032</v>
      </c>
      <c r="B7075" s="8" t="s">
        <v>7031</v>
      </c>
    </row>
    <row r="7076" spans="1:2" x14ac:dyDescent="0.3">
      <c r="A7076" s="5" t="str">
        <f>HYPERLINK("http://www.eatonpowersource.com/products/configure/pumps/details/708-0004-032","708-0004-032")</f>
        <v>708-0004-032</v>
      </c>
      <c r="B7076" s="6" t="s">
        <v>7032</v>
      </c>
    </row>
    <row r="7077" spans="1:2" x14ac:dyDescent="0.3">
      <c r="A7077" s="7" t="str">
        <f>HYPERLINK("http://www.eatonpowersource.com/products/configure/pumps/details/708-0006-032","708-0006-032")</f>
        <v>708-0006-032</v>
      </c>
      <c r="B7077" s="8" t="s">
        <v>7033</v>
      </c>
    </row>
    <row r="7078" spans="1:2" x14ac:dyDescent="0.3">
      <c r="A7078" s="5" t="str">
        <f>HYPERLINK("http://www.eatonpowersource.com/products/configure/pumps/details/708-0012-032","708-0012-032")</f>
        <v>708-0012-032</v>
      </c>
      <c r="B7078" s="6" t="s">
        <v>7034</v>
      </c>
    </row>
    <row r="7079" spans="1:2" x14ac:dyDescent="0.3">
      <c r="A7079" s="7" t="str">
        <f>HYPERLINK("http://www.eatonpowersource.com/products/configure/pumps/details/708-0013-032","708-0013-032")</f>
        <v>708-0013-032</v>
      </c>
      <c r="B7079" s="8" t="s">
        <v>7035</v>
      </c>
    </row>
    <row r="7080" spans="1:2" x14ac:dyDescent="0.3">
      <c r="A7080" s="5" t="str">
        <f>HYPERLINK("http://www.eatonpowersource.com/products/configure/pumps/details/708-0017-032","708-0017-032")</f>
        <v>708-0017-032</v>
      </c>
      <c r="B7080" s="6" t="s">
        <v>7036</v>
      </c>
    </row>
    <row r="7081" spans="1:2" x14ac:dyDescent="0.3">
      <c r="A7081" s="7" t="str">
        <f>HYPERLINK("http://www.eatonpowersource.com/products/configure/pumps/details/708-0018-032","708-0018-032")</f>
        <v>708-0018-032</v>
      </c>
      <c r="B7081" s="8" t="s">
        <v>7037</v>
      </c>
    </row>
    <row r="7082" spans="1:2" x14ac:dyDescent="0.3">
      <c r="A7082" s="5" t="str">
        <f>HYPERLINK("http://www.eatonpowersource.com/products/configure/pumps/details/708-0033-032","708-0033-032")</f>
        <v>708-0033-032</v>
      </c>
      <c r="B7082" s="6" t="s">
        <v>7038</v>
      </c>
    </row>
    <row r="7083" spans="1:2" x14ac:dyDescent="0.3">
      <c r="A7083" s="7" t="str">
        <f>HYPERLINK("http://www.eatonpowersource.com/products/configure/pumps/details/708-0061-032","708-0061-032")</f>
        <v>708-0061-032</v>
      </c>
      <c r="B7083" s="8" t="s">
        <v>7039</v>
      </c>
    </row>
    <row r="7084" spans="1:2" x14ac:dyDescent="0.3">
      <c r="A7084" s="5" t="str">
        <f>HYPERLINK("http://www.eatonpowersource.com/products/configure/pumps/details/708-0107-032","708-0107-032")</f>
        <v>708-0107-032</v>
      </c>
      <c r="B7084" s="6" t="s">
        <v>7040</v>
      </c>
    </row>
    <row r="7085" spans="1:2" x14ac:dyDescent="0.3">
      <c r="A7085" s="7" t="str">
        <f>HYPERLINK("http://www.eatonpowersource.com/products/configure/pumps/details/708-0118-032","708-0118-032")</f>
        <v>708-0118-032</v>
      </c>
      <c r="B7085" s="8" t="s">
        <v>7041</v>
      </c>
    </row>
    <row r="7086" spans="1:2" x14ac:dyDescent="0.3">
      <c r="A7086" s="5" t="str">
        <f>HYPERLINK("http://www.eatonpowersource.com/products/configure/pumps/details/708-0133-032","708-0133-032")</f>
        <v>708-0133-032</v>
      </c>
      <c r="B7086" s="6" t="s">
        <v>7042</v>
      </c>
    </row>
    <row r="7087" spans="1:2" x14ac:dyDescent="0.3">
      <c r="A7087" s="7" t="str">
        <f>HYPERLINK("http://www.eatonpowersource.com/products/configure/pumps/details/708-0192-032","708-0192-032")</f>
        <v>708-0192-032</v>
      </c>
      <c r="B7087" s="8" t="s">
        <v>7043</v>
      </c>
    </row>
    <row r="7088" spans="1:2" x14ac:dyDescent="0.3">
      <c r="A7088" s="5" t="str">
        <f>HYPERLINK("http://www.eatonpowersource.com/products/configure/pumps/details/709-0031-032","709-0031-032")</f>
        <v>709-0031-032</v>
      </c>
      <c r="B7088" s="6" t="s">
        <v>7044</v>
      </c>
    </row>
    <row r="7089" spans="1:2" x14ac:dyDescent="0.3">
      <c r="A7089" s="7" t="str">
        <f>HYPERLINK("http://www.eatonpowersource.com/products/configure/pumps/details/709-0050-032","709-0050-032")</f>
        <v>709-0050-032</v>
      </c>
      <c r="B7089" s="8" t="s">
        <v>7045</v>
      </c>
    </row>
    <row r="7090" spans="1:2" x14ac:dyDescent="0.3">
      <c r="A7090" s="5" t="str">
        <f>HYPERLINK("http://www.eatonpowersource.com/products/configure/pumps/details/709-0052-032","709-0052-032")</f>
        <v>709-0052-032</v>
      </c>
      <c r="B7090" s="6" t="s">
        <v>7046</v>
      </c>
    </row>
    <row r="7091" spans="1:2" x14ac:dyDescent="0.3">
      <c r="A7091" s="7" t="str">
        <f>HYPERLINK("http://www.eatonpowersource.com/products/configure/pumps/details/709-0061-032","709-0061-032")</f>
        <v>709-0061-032</v>
      </c>
      <c r="B7091" s="8" t="s">
        <v>7047</v>
      </c>
    </row>
    <row r="7092" spans="1:2" x14ac:dyDescent="0.3">
      <c r="A7092" s="5" t="str">
        <f>HYPERLINK("http://www.eatonpowersource.com/products/configure/pumps/details/709-0099-032","709-0099-032")</f>
        <v>709-0099-032</v>
      </c>
      <c r="B7092" s="6" t="s">
        <v>7048</v>
      </c>
    </row>
    <row r="7093" spans="1:2" x14ac:dyDescent="0.3">
      <c r="A7093" s="7" t="str">
        <f>HYPERLINK("http://www.eatonpowersource.com/products/configure/pumps/details/709-0110-032","709-0110-032")</f>
        <v>709-0110-032</v>
      </c>
      <c r="B7093" s="8" t="s">
        <v>7049</v>
      </c>
    </row>
    <row r="7094" spans="1:2" x14ac:dyDescent="0.3">
      <c r="A7094" s="5" t="str">
        <f>HYPERLINK("http://www.eatonpowersource.com/products/configure/pumps/details/710-0014-032","710-0014-032")</f>
        <v>710-0014-032</v>
      </c>
      <c r="B7094" s="6" t="s">
        <v>7050</v>
      </c>
    </row>
    <row r="7095" spans="1:2" x14ac:dyDescent="0.3">
      <c r="A7095" s="7" t="str">
        <f>HYPERLINK("http://www.eatonpowersource.com/products/configure/pumps/details/710-0073-032","710-0073-032")</f>
        <v>710-0073-032</v>
      </c>
      <c r="B7095" s="8" t="s">
        <v>7051</v>
      </c>
    </row>
    <row r="7096" spans="1:2" x14ac:dyDescent="0.3">
      <c r="A7096" s="5" t="str">
        <f>HYPERLINK("http://www.eatonpowersource.com/products/configure/pumps/details/710-0077-032","710-0077-032")</f>
        <v>710-0077-032</v>
      </c>
      <c r="B7096" s="6" t="s">
        <v>7052</v>
      </c>
    </row>
    <row r="7097" spans="1:2" x14ac:dyDescent="0.3">
      <c r="A7097" s="7" t="str">
        <f>HYPERLINK("http://www.eatonpowersource.com/products/configure/pumps/details/710-0088-032","710-0088-032")</f>
        <v>710-0088-032</v>
      </c>
      <c r="B7097" s="8" t="s">
        <v>7053</v>
      </c>
    </row>
    <row r="7098" spans="1:2" x14ac:dyDescent="0.3">
      <c r="A7098" s="5" t="str">
        <f>HYPERLINK("http://www.eatonpowersource.com/products/configure/pumps/details/710-0095-032","710-0095-032")</f>
        <v>710-0095-032</v>
      </c>
      <c r="B7098" s="6" t="s">
        <v>7054</v>
      </c>
    </row>
    <row r="7099" spans="1:2" x14ac:dyDescent="0.3">
      <c r="A7099" s="7" t="str">
        <f>HYPERLINK("http://www.eatonpowersource.com/products/configure/pumps/details/710-0096-032","710-0096-032")</f>
        <v>710-0096-032</v>
      </c>
      <c r="B7099" s="8" t="s">
        <v>7055</v>
      </c>
    </row>
    <row r="7100" spans="1:2" x14ac:dyDescent="0.3">
      <c r="A7100" s="5" t="str">
        <f>HYPERLINK("http://www.eatonpowersource.com/products/configure/pumps/details/710-0097-032","710-0097-032")</f>
        <v>710-0097-032</v>
      </c>
      <c r="B7100" s="6" t="s">
        <v>7056</v>
      </c>
    </row>
    <row r="7101" spans="1:2" x14ac:dyDescent="0.3">
      <c r="A7101" s="7" t="str">
        <f>HYPERLINK("http://www.eatonpowersource.com/products/configure/pumps/details/710-0112-032","710-0112-032")</f>
        <v>710-0112-032</v>
      </c>
      <c r="B7101" s="8" t="s">
        <v>7057</v>
      </c>
    </row>
    <row r="7102" spans="1:2" x14ac:dyDescent="0.3">
      <c r="A7102" s="5" t="str">
        <f>HYPERLINK("http://www.eatonpowersource.com/products/configure/pumps/details/710-0134-032","710-0134-032")</f>
        <v>710-0134-032</v>
      </c>
      <c r="B7102" s="6" t="s">
        <v>7058</v>
      </c>
    </row>
    <row r="7103" spans="1:2" x14ac:dyDescent="0.3">
      <c r="A7103" s="7" t="str">
        <f>HYPERLINK("http://www.eatonpowersource.com/products/configure/pumps/details/710-0135-032","710-0135-032")</f>
        <v>710-0135-032</v>
      </c>
      <c r="B7103" s="8" t="s">
        <v>7059</v>
      </c>
    </row>
    <row r="7104" spans="1:2" x14ac:dyDescent="0.3">
      <c r="A7104" s="5" t="str">
        <f>HYPERLINK("http://www.eatonpowersource.com/products/configure/pumps/details/710-0147-032","710-0147-032")</f>
        <v>710-0147-032</v>
      </c>
      <c r="B7104" s="6" t="s">
        <v>7060</v>
      </c>
    </row>
    <row r="7105" spans="1:2" x14ac:dyDescent="0.3">
      <c r="A7105" s="7" t="str">
        <f>HYPERLINK("http://www.eatonpowersource.com/products/configure/pumps/details/710-0148-032","710-0148-032")</f>
        <v>710-0148-032</v>
      </c>
      <c r="B7105" s="8" t="s">
        <v>7061</v>
      </c>
    </row>
    <row r="7106" spans="1:2" x14ac:dyDescent="0.3">
      <c r="A7106" s="5" t="str">
        <f>HYPERLINK("http://www.eatonpowersource.com/products/configure/pumps/details/711-0016-032","711-0016-032")</f>
        <v>711-0016-032</v>
      </c>
      <c r="B7106" s="6" t="s">
        <v>7062</v>
      </c>
    </row>
    <row r="7107" spans="1:2" x14ac:dyDescent="0.3">
      <c r="A7107" s="7" t="str">
        <f>HYPERLINK("http://www.eatonpowersource.com/products/configure/pumps/details/711-0023-032","711-0023-032")</f>
        <v>711-0023-032</v>
      </c>
      <c r="B7107" s="8" t="s">
        <v>7063</v>
      </c>
    </row>
    <row r="7108" spans="1:2" x14ac:dyDescent="0.3">
      <c r="A7108" s="5" t="str">
        <f>HYPERLINK("http://www.eatonpowersource.com/products/configure/pumps/details/711-0119-032","711-0119-032")</f>
        <v>711-0119-032</v>
      </c>
      <c r="B7108" s="6" t="s">
        <v>7064</v>
      </c>
    </row>
    <row r="7109" spans="1:2" x14ac:dyDescent="0.3">
      <c r="A7109" s="7" t="str">
        <f>HYPERLINK("http://www.eatonpowersource.com/products/configure/pumps/details/711-0120-032","711-0120-032")</f>
        <v>711-0120-032</v>
      </c>
      <c r="B7109" s="8" t="s">
        <v>7065</v>
      </c>
    </row>
    <row r="7110" spans="1:2" x14ac:dyDescent="0.3">
      <c r="A7110" s="5" t="str">
        <f>HYPERLINK("http://www.eatonpowersource.com/products/configure/pumps/details/711-0147-032","711-0147-032")</f>
        <v>711-0147-032</v>
      </c>
      <c r="B7110" s="6" t="s">
        <v>7066</v>
      </c>
    </row>
    <row r="7111" spans="1:2" x14ac:dyDescent="0.3">
      <c r="A7111" s="7" t="str">
        <f>HYPERLINK("http://www.eatonpowersource.com/products/configure/pumps/details/711-0150-032","711-0150-032")</f>
        <v>711-0150-032</v>
      </c>
      <c r="B7111" s="8" t="s">
        <v>7067</v>
      </c>
    </row>
    <row r="7112" spans="1:2" x14ac:dyDescent="0.3">
      <c r="A7112" s="5" t="str">
        <f>HYPERLINK("http://www.eatonpowersource.com/products/configure/pumps/details/711-0178-032","711-0178-032")</f>
        <v>711-0178-032</v>
      </c>
      <c r="B7112" s="6" t="s">
        <v>7068</v>
      </c>
    </row>
    <row r="7113" spans="1:2" x14ac:dyDescent="0.3">
      <c r="A7113" s="7" t="str">
        <f>HYPERLINK("http://www.eatonpowersource.com/products/configure/pumps/details/711-0217-032","711-0217-032")</f>
        <v>711-0217-032</v>
      </c>
      <c r="B7113" s="8" t="s">
        <v>7069</v>
      </c>
    </row>
    <row r="7114" spans="1:2" x14ac:dyDescent="0.3">
      <c r="A7114" s="5" t="str">
        <f>HYPERLINK("http://www.eatonpowersource.com/products/configure/pumps/details/711-0239-032","711-0239-032")</f>
        <v>711-0239-032</v>
      </c>
      <c r="B7114" s="6" t="s">
        <v>7070</v>
      </c>
    </row>
    <row r="7115" spans="1:2" x14ac:dyDescent="0.3">
      <c r="A7115" s="7" t="str">
        <f>HYPERLINK("http://www.eatonpowersource.com/products/configure/pumps/details/711-0259-032","711-0259-032")</f>
        <v>711-0259-032</v>
      </c>
      <c r="B7115" s="8" t="s">
        <v>7071</v>
      </c>
    </row>
    <row r="7116" spans="1:2" x14ac:dyDescent="0.3">
      <c r="A7116" s="5" t="str">
        <f>HYPERLINK("http://www.eatonpowersource.com/products/configure/pumps/details/711-0260-032","711-0260-032")</f>
        <v>711-0260-032</v>
      </c>
      <c r="B7116" s="6" t="s">
        <v>7072</v>
      </c>
    </row>
    <row r="7117" spans="1:2" x14ac:dyDescent="0.3">
      <c r="A7117" s="7" t="str">
        <f>HYPERLINK("http://www.eatonpowersource.com/products/configure/pumps/details/712-0042-032","712-0042-032")</f>
        <v>712-0042-032</v>
      </c>
      <c r="B7117" s="8" t="s">
        <v>7073</v>
      </c>
    </row>
    <row r="7118" spans="1:2" x14ac:dyDescent="0.3">
      <c r="A7118" s="5" t="str">
        <f>HYPERLINK("http://www.eatonpowersource.com/products/configure/pumps/details/712-0081-032","712-0081-032")</f>
        <v>712-0081-032</v>
      </c>
      <c r="B7118" s="6" t="s">
        <v>7074</v>
      </c>
    </row>
    <row r="7119" spans="1:2" x14ac:dyDescent="0.3">
      <c r="A7119" s="7" t="str">
        <f>HYPERLINK("http://www.eatonpowersource.com/products/configure/pumps/details/712-0100-032","712-0100-032")</f>
        <v>712-0100-032</v>
      </c>
      <c r="B7119" s="8" t="s">
        <v>7075</v>
      </c>
    </row>
    <row r="7120" spans="1:2" x14ac:dyDescent="0.3">
      <c r="A7120" s="5" t="str">
        <f>HYPERLINK("http://www.eatonpowersource.com/products/configure/pumps/details/712-0109-032","712-0109-032")</f>
        <v>712-0109-032</v>
      </c>
      <c r="B7120" s="6" t="s">
        <v>7076</v>
      </c>
    </row>
    <row r="7121" spans="1:2" x14ac:dyDescent="0.3">
      <c r="A7121" s="7" t="str">
        <f>HYPERLINK("http://www.eatonpowersource.com/products/configure/pumps/details/712-0137-032","712-0137-032")</f>
        <v>712-0137-032</v>
      </c>
      <c r="B7121" s="8" t="s">
        <v>7077</v>
      </c>
    </row>
    <row r="7122" spans="1:2" x14ac:dyDescent="0.3">
      <c r="A7122" s="5" t="str">
        <f>HYPERLINK("http://www.eatonpowersource.com/products/configure/pumps/details/712-0154-032","712-0154-032")</f>
        <v>712-0154-032</v>
      </c>
      <c r="B7122" s="6" t="s">
        <v>7078</v>
      </c>
    </row>
    <row r="7123" spans="1:2" x14ac:dyDescent="0.3">
      <c r="A7123" s="7" t="str">
        <f>HYPERLINK("http://www.eatonpowersource.com/products/configure/pumps/details/712-0161-032","712-0161-032")</f>
        <v>712-0161-032</v>
      </c>
      <c r="B7123" s="8" t="s">
        <v>7079</v>
      </c>
    </row>
    <row r="7124" spans="1:2" x14ac:dyDescent="0.3">
      <c r="A7124" s="5" t="str">
        <f>HYPERLINK("http://www.eatonpowersource.com/products/configure/pumps/details/712-0208-032","712-0208-032")</f>
        <v>712-0208-032</v>
      </c>
      <c r="B7124" s="6" t="s">
        <v>7080</v>
      </c>
    </row>
    <row r="7125" spans="1:2" x14ac:dyDescent="0.3">
      <c r="A7125" s="7" t="str">
        <f>HYPERLINK("http://www.eatonpowersource.com/products/configure/pumps/details/713-0034-032","713-0034-032")</f>
        <v>713-0034-032</v>
      </c>
      <c r="B7125" s="8" t="s">
        <v>7081</v>
      </c>
    </row>
    <row r="7126" spans="1:2" x14ac:dyDescent="0.3">
      <c r="A7126" s="5" t="str">
        <f>HYPERLINK("http://www.eatonpowersource.com/products/configure/pumps/details/713-0058-032","713-0058-032")</f>
        <v>713-0058-032</v>
      </c>
      <c r="B7126" s="6" t="s">
        <v>7082</v>
      </c>
    </row>
    <row r="7127" spans="1:2" x14ac:dyDescent="0.3">
      <c r="A7127" s="7" t="str">
        <f>HYPERLINK("http://www.eatonpowersource.com/products/configure/pumps/details/714-0020-032","714-0020-032")</f>
        <v>714-0020-032</v>
      </c>
      <c r="B7127" s="8" t="s">
        <v>7083</v>
      </c>
    </row>
    <row r="7128" spans="1:2" x14ac:dyDescent="0.3">
      <c r="A7128" s="5" t="str">
        <f>HYPERLINK("http://www.eatonpowersource.com/products/configure/pumps/details/714-0035-032","714-0035-032")</f>
        <v>714-0035-032</v>
      </c>
      <c r="B7128" s="6" t="s">
        <v>7084</v>
      </c>
    </row>
    <row r="7129" spans="1:2" x14ac:dyDescent="0.3">
      <c r="A7129" s="7" t="str">
        <f>HYPERLINK("http://www.eatonpowersource.com/products/configure/pumps/details/714-0036-032","714-0036-032")</f>
        <v>714-0036-032</v>
      </c>
      <c r="B7129" s="8" t="s">
        <v>7085</v>
      </c>
    </row>
    <row r="7130" spans="1:2" x14ac:dyDescent="0.3">
      <c r="A7130" s="5" t="str">
        <f>HYPERLINK("http://www.eatonpowersource.com/products/configure/pumps/details/714-0049-032","714-0049-032")</f>
        <v>714-0049-032</v>
      </c>
      <c r="B7130" s="6" t="s">
        <v>7086</v>
      </c>
    </row>
    <row r="7131" spans="1:2" x14ac:dyDescent="0.3">
      <c r="A7131" s="7" t="str">
        <f>HYPERLINK("http://www.eatonpowersource.com/products/configure/pumps/details/714-0111-032","714-0111-032")</f>
        <v>714-0111-032</v>
      </c>
      <c r="B7131" s="8" t="s">
        <v>7087</v>
      </c>
    </row>
    <row r="7132" spans="1:2" x14ac:dyDescent="0.3">
      <c r="A7132" s="5" t="str">
        <f>HYPERLINK("http://www.eatonpowersource.com/products/configure/pumps/details/714-0130-032","714-0130-032")</f>
        <v>714-0130-032</v>
      </c>
      <c r="B7132" s="6" t="s">
        <v>7088</v>
      </c>
    </row>
    <row r="7133" spans="1:2" x14ac:dyDescent="0.3">
      <c r="A7133" s="7" t="str">
        <f>HYPERLINK("http://www.eatonpowersource.com/products/configure/pumps/details/714-0131-032","714-0131-032")</f>
        <v>714-0131-032</v>
      </c>
      <c r="B7133" s="8" t="s">
        <v>7089</v>
      </c>
    </row>
    <row r="7134" spans="1:2" x14ac:dyDescent="0.3">
      <c r="A7134" s="5" t="str">
        <f>HYPERLINK("http://www.eatonpowersource.com/products/configure/pumps/details/928543","928543")</f>
        <v>928543</v>
      </c>
      <c r="B7134" s="6" t="s">
        <v>7090</v>
      </c>
    </row>
    <row r="7135" spans="1:2" x14ac:dyDescent="0.3">
      <c r="A7135" s="7" t="str">
        <f>HYPERLINK("http://www.eatonpowersource.com/products/details/02-314746","02-314746")</f>
        <v>02-314746</v>
      </c>
      <c r="B7135" s="8" t="s">
        <v>7091</v>
      </c>
    </row>
    <row r="7136" spans="1:2" x14ac:dyDescent="0.3">
      <c r="A7136" s="5" t="str">
        <f>HYPERLINK("http://www.eatonpowersource.com/products/details/02-322898","02-322898")</f>
        <v>02-322898</v>
      </c>
      <c r="B7136" s="6" t="s">
        <v>7092</v>
      </c>
    </row>
    <row r="7137" spans="1:2" x14ac:dyDescent="0.3">
      <c r="A7137" s="7" t="str">
        <f>HYPERLINK("http://www.eatonpowersource.com/products/details/02-346162","02-346162")</f>
        <v>02-346162</v>
      </c>
      <c r="B7137" s="8" t="s">
        <v>7093</v>
      </c>
    </row>
    <row r="7138" spans="1:2" x14ac:dyDescent="0.3">
      <c r="A7138" s="5" t="str">
        <f>HYPERLINK("http://www.eatonpowersource.com/products/details/02-346169","02-346169")</f>
        <v>02-346169</v>
      </c>
      <c r="B7138" s="6" t="s">
        <v>7094</v>
      </c>
    </row>
    <row r="7139" spans="1:2" x14ac:dyDescent="0.3">
      <c r="A7139" s="7" t="str">
        <f>HYPERLINK("http://www.eatonpowersource.com/products/details/02-347285","02-347285")</f>
        <v>02-347285</v>
      </c>
      <c r="B7139" s="8" t="s">
        <v>7095</v>
      </c>
    </row>
    <row r="7140" spans="1:2" x14ac:dyDescent="0.3">
      <c r="A7140" s="5" t="str">
        <f>HYPERLINK("http://www.eatonpowersource.com/products/details/02-347286","02-347286")</f>
        <v>02-347286</v>
      </c>
      <c r="B7140" s="6" t="s">
        <v>7096</v>
      </c>
    </row>
    <row r="7141" spans="1:2" x14ac:dyDescent="0.3">
      <c r="A7141" s="7" t="str">
        <f>HYPERLINK("http://www.eatonpowersource.com/products/details/239335","239335")</f>
        <v>239335</v>
      </c>
      <c r="B7141" s="8" t="s">
        <v>7097</v>
      </c>
    </row>
    <row r="7142" spans="1:2" x14ac:dyDescent="0.3">
      <c r="A7142" s="5" t="str">
        <f>HYPERLINK("http://www.eatonpowersource.com/products/details/875773","875773")</f>
        <v>875773</v>
      </c>
      <c r="B7142" s="6" t="s">
        <v>7098</v>
      </c>
    </row>
    <row r="7143" spans="1:2" x14ac:dyDescent="0.3">
      <c r="A7143" s="7" t="str">
        <f>HYPERLINK("http://www.eatonpowersource.com/products/details/875775","875775")</f>
        <v>875775</v>
      </c>
      <c r="B7143" s="8" t="s">
        <v>7099</v>
      </c>
    </row>
    <row r="7144" spans="1:2" x14ac:dyDescent="0.3">
      <c r="A7144" s="5" t="str">
        <f>HYPERLINK("http://www.eatonpowersource.com/products/details/877419","877419")</f>
        <v>877419</v>
      </c>
      <c r="B7144" s="6" t="s">
        <v>7100</v>
      </c>
    </row>
    <row r="7145" spans="1:2" x14ac:dyDescent="0.3">
      <c r="A7145" s="7" t="str">
        <f>HYPERLINK("http://www.eatonpowersource.com/products/details/877420","877420")</f>
        <v>877420</v>
      </c>
      <c r="B7145" s="8" t="s">
        <v>7101</v>
      </c>
    </row>
    <row r="7146" spans="1:2" x14ac:dyDescent="0.3">
      <c r="A7146" s="5" t="str">
        <f>HYPERLINK("http://www.eatonpowersource.com/products/details/877421","877421")</f>
        <v>877421</v>
      </c>
      <c r="B7146" s="6" t="s">
        <v>7102</v>
      </c>
    </row>
    <row r="7147" spans="1:2" x14ac:dyDescent="0.3">
      <c r="A7147" s="7" t="str">
        <f>HYPERLINK("http://www.eatonpowersource.com/products/details/877422","877422")</f>
        <v>877422</v>
      </c>
      <c r="B7147" s="8" t="s">
        <v>7103</v>
      </c>
    </row>
    <row r="7148" spans="1:2" x14ac:dyDescent="0.3">
      <c r="A7148" s="5" t="str">
        <f>HYPERLINK("http://www.eatonpowersource.com/products/details/882954","882954")</f>
        <v>882954</v>
      </c>
      <c r="B7148" s="6" t="s">
        <v>7104</v>
      </c>
    </row>
    <row r="7149" spans="1:2" x14ac:dyDescent="0.3">
      <c r="A7149" s="7" t="str">
        <f>HYPERLINK("http://www.eatonpowersource.com/products/details/923947","923947")</f>
        <v>923947</v>
      </c>
      <c r="B7149" s="8" t="s">
        <v>7105</v>
      </c>
    </row>
    <row r="7150" spans="1:2" x14ac:dyDescent="0.3">
      <c r="A7150" s="5" t="str">
        <f>HYPERLINK("http://www.eatonpowersource.com/products/details/923948","923948")</f>
        <v>923948</v>
      </c>
      <c r="B7150" s="6" t="s">
        <v>7106</v>
      </c>
    </row>
    <row r="7151" spans="1:2" x14ac:dyDescent="0.3">
      <c r="A7151" s="7" t="str">
        <f>HYPERLINK("http://www.eatonpowersource.com/products/details/938273","938273")</f>
        <v>938273</v>
      </c>
      <c r="B7151" s="8" t="s">
        <v>7107</v>
      </c>
    </row>
    <row r="7152" spans="1:2" x14ac:dyDescent="0.3">
      <c r="A7152" s="5" t="str">
        <f>HYPERLINK("http://www.eatonpowersource.com/products/details/938274","938274")</f>
        <v>938274</v>
      </c>
      <c r="B7152" s="6" t="s">
        <v>7108</v>
      </c>
    </row>
    <row r="7153" spans="1:2" x14ac:dyDescent="0.3">
      <c r="A7153" s="7" t="str">
        <f>HYPERLINK("http://www.eatonpowersource.com/products/details/938275","938275")</f>
        <v>938275</v>
      </c>
      <c r="B7153" s="8" t="s">
        <v>7109</v>
      </c>
    </row>
    <row r="7154" spans="1:2" x14ac:dyDescent="0.3">
      <c r="A7154" s="5" t="str">
        <f>HYPERLINK("http://www.eatonpowersource.com/products/details/938276","938276")</f>
        <v>938276</v>
      </c>
      <c r="B7154" s="6" t="s">
        <v>7110</v>
      </c>
    </row>
    <row r="7155" spans="1:2" x14ac:dyDescent="0.3">
      <c r="A7155" s="7" t="str">
        <f>HYPERLINK("http://www.eatonpowersource.com/products/configure/pumps/details/937183","937183")</f>
        <v>937183</v>
      </c>
      <c r="B7155" s="8" t="s">
        <v>7111</v>
      </c>
    </row>
    <row r="7156" spans="1:2" x14ac:dyDescent="0.3">
      <c r="A7156" s="5" t="str">
        <f>HYPERLINK("http://www.eatonpowersource.com/products/configure/pumps/details/937184","937184")</f>
        <v>937184</v>
      </c>
      <c r="B7156" s="6" t="s">
        <v>7112</v>
      </c>
    </row>
    <row r="7157" spans="1:2" x14ac:dyDescent="0.3">
      <c r="A7157" s="7" t="str">
        <f>HYPERLINK("http://www.eatonpowersource.com/products/configure/pumps/details/937412","937412")</f>
        <v>937412</v>
      </c>
      <c r="B7157" s="8" t="s">
        <v>7113</v>
      </c>
    </row>
    <row r="7158" spans="1:2" x14ac:dyDescent="0.3">
      <c r="A7158" s="5" t="str">
        <f>HYPERLINK("http://www.eatonpowersource.com/products/configure/pumps/details/02-347976","02-347976")</f>
        <v>02-347976</v>
      </c>
      <c r="B7158" s="6" t="s">
        <v>7114</v>
      </c>
    </row>
    <row r="7159" spans="1:2" x14ac:dyDescent="0.3">
      <c r="A7159" s="7" t="str">
        <f>HYPERLINK("http://www.eatonpowersource.com/products/configure/pumps/details/02-466893","02-466893")</f>
        <v>02-466893</v>
      </c>
      <c r="B7159" s="8" t="s">
        <v>7115</v>
      </c>
    </row>
    <row r="7160" spans="1:2" x14ac:dyDescent="0.3">
      <c r="A7160" s="5" t="str">
        <f>HYPERLINK("http://www.eatonpowersource.com/products/configure/pumps/details/380187","380187")</f>
        <v>380187</v>
      </c>
      <c r="B7160" s="6" t="s">
        <v>7116</v>
      </c>
    </row>
    <row r="7161" spans="1:2" x14ac:dyDescent="0.3">
      <c r="A7161" s="7" t="str">
        <f>HYPERLINK("http://www.eatonpowersource.com/products/configure/pumps/details/02-341511","02-341511")</f>
        <v>02-341511</v>
      </c>
      <c r="B7161" s="8" t="s">
        <v>7117</v>
      </c>
    </row>
    <row r="7162" spans="1:2" x14ac:dyDescent="0.3">
      <c r="A7162" s="5" t="str">
        <f>HYPERLINK("http://www.eatonpowersource.com/products/configure/pumps/details/02-341515","02-341515")</f>
        <v>02-341515</v>
      </c>
      <c r="B7162" s="6" t="s">
        <v>7118</v>
      </c>
    </row>
    <row r="7163" spans="1:2" x14ac:dyDescent="0.3">
      <c r="A7163" s="7" t="str">
        <f>HYPERLINK("http://www.eatonpowersource.com/products/configure/pumps/details/02-341518","02-341518")</f>
        <v>02-341518</v>
      </c>
      <c r="B7163" s="8" t="s">
        <v>7119</v>
      </c>
    </row>
    <row r="7164" spans="1:2" x14ac:dyDescent="0.3">
      <c r="A7164" s="5" t="str">
        <f>HYPERLINK("http://www.eatonpowersource.com/products/configure/pumps/details/02-341522","02-341522")</f>
        <v>02-341522</v>
      </c>
      <c r="B7164" s="6" t="s">
        <v>7120</v>
      </c>
    </row>
    <row r="7165" spans="1:2" x14ac:dyDescent="0.3">
      <c r="A7165" s="7" t="str">
        <f>HYPERLINK("http://www.eatonpowersource.com/products/configure/pumps/details/02-341805","02-341805")</f>
        <v>02-341805</v>
      </c>
      <c r="B7165" s="8" t="s">
        <v>7121</v>
      </c>
    </row>
    <row r="7166" spans="1:2" x14ac:dyDescent="0.3">
      <c r="A7166" s="5" t="str">
        <f>HYPERLINK("http://www.eatonpowersource.com/products/configure/pumps/details/02-341813","02-341813")</f>
        <v>02-341813</v>
      </c>
      <c r="B7166" s="6" t="s">
        <v>7122</v>
      </c>
    </row>
    <row r="7167" spans="1:2" x14ac:dyDescent="0.3">
      <c r="A7167" s="7" t="str">
        <f>HYPERLINK("http://www.eatonpowersource.com/products/configure/pumps/details/02-341814","02-341814")</f>
        <v>02-341814</v>
      </c>
      <c r="B7167" s="8" t="s">
        <v>7123</v>
      </c>
    </row>
    <row r="7168" spans="1:2" x14ac:dyDescent="0.3">
      <c r="A7168" s="5" t="str">
        <f>HYPERLINK("http://www.eatonpowersource.com/products/configure/pumps/details/02-341815","02-341815")</f>
        <v>02-341815</v>
      </c>
      <c r="B7168" s="6" t="s">
        <v>7124</v>
      </c>
    </row>
    <row r="7169" spans="1:2" x14ac:dyDescent="0.3">
      <c r="A7169" s="7" t="str">
        <f>HYPERLINK("http://www.eatonpowersource.com/products/configure/pumps/details/02-341816","02-341816")</f>
        <v>02-341816</v>
      </c>
      <c r="B7169" s="8" t="s">
        <v>7125</v>
      </c>
    </row>
    <row r="7170" spans="1:2" x14ac:dyDescent="0.3">
      <c r="A7170" s="5" t="str">
        <f>HYPERLINK("http://www.eatonpowersource.com/products/configure/pumps/details/02-341818","02-341818")</f>
        <v>02-341818</v>
      </c>
      <c r="B7170" s="6" t="s">
        <v>7126</v>
      </c>
    </row>
    <row r="7171" spans="1:2" x14ac:dyDescent="0.3">
      <c r="A7171" s="7" t="str">
        <f>HYPERLINK("http://www.eatonpowersource.com/products/configure/pumps/details/02-341819","02-341819")</f>
        <v>02-341819</v>
      </c>
      <c r="B7171" s="8" t="s">
        <v>7127</v>
      </c>
    </row>
    <row r="7172" spans="1:2" x14ac:dyDescent="0.3">
      <c r="A7172" s="5" t="str">
        <f>HYPERLINK("http://www.eatonpowersource.com/products/configure/pumps/details/02-341822","02-341822")</f>
        <v>02-341822</v>
      </c>
      <c r="B7172" s="6" t="s">
        <v>7128</v>
      </c>
    </row>
    <row r="7173" spans="1:2" x14ac:dyDescent="0.3">
      <c r="A7173" s="7" t="str">
        <f>HYPERLINK("http://www.eatonpowersource.com/products/configure/pumps/details/02-341823","02-341823")</f>
        <v>02-341823</v>
      </c>
      <c r="B7173" s="8" t="s">
        <v>7129</v>
      </c>
    </row>
    <row r="7174" spans="1:2" x14ac:dyDescent="0.3">
      <c r="A7174" s="5" t="str">
        <f>HYPERLINK("http://www.eatonpowersource.com/products/configure/pumps/details/02-341824","02-341824")</f>
        <v>02-341824</v>
      </c>
      <c r="B7174" s="6" t="s">
        <v>7130</v>
      </c>
    </row>
    <row r="7175" spans="1:2" x14ac:dyDescent="0.3">
      <c r="A7175" s="7" t="str">
        <f>HYPERLINK("http://www.eatonpowersource.com/products/configure/pumps/details/02-341825","02-341825")</f>
        <v>02-341825</v>
      </c>
      <c r="B7175" s="8" t="s">
        <v>7131</v>
      </c>
    </row>
    <row r="7176" spans="1:2" x14ac:dyDescent="0.3">
      <c r="A7176" s="5" t="str">
        <f>HYPERLINK("http://www.eatonpowersource.com/products/configure/pumps/details/02-341826","02-341826")</f>
        <v>02-341826</v>
      </c>
      <c r="B7176" s="6" t="s">
        <v>7132</v>
      </c>
    </row>
    <row r="7177" spans="1:2" x14ac:dyDescent="0.3">
      <c r="A7177" s="7" t="str">
        <f>HYPERLINK("http://www.eatonpowersource.com/products/configure/pumps/details/02-341829","02-341829")</f>
        <v>02-341829</v>
      </c>
      <c r="B7177" s="8" t="s">
        <v>7133</v>
      </c>
    </row>
    <row r="7178" spans="1:2" x14ac:dyDescent="0.3">
      <c r="A7178" s="5" t="str">
        <f>HYPERLINK("http://www.eatonpowersource.com/products/configure/pumps/details/02-341851","02-341851")</f>
        <v>02-341851</v>
      </c>
      <c r="B7178" s="6" t="s">
        <v>7134</v>
      </c>
    </row>
    <row r="7179" spans="1:2" x14ac:dyDescent="0.3">
      <c r="A7179" s="7" t="str">
        <f>HYPERLINK("http://www.eatonpowersource.com/products/configure/pumps/details/02-341858","02-341858")</f>
        <v>02-341858</v>
      </c>
      <c r="B7179" s="8" t="s">
        <v>7135</v>
      </c>
    </row>
    <row r="7180" spans="1:2" x14ac:dyDescent="0.3">
      <c r="A7180" s="5" t="str">
        <f>HYPERLINK("http://www.eatonpowersource.com/products/configure/pumps/details/02-341864","02-341864")</f>
        <v>02-341864</v>
      </c>
      <c r="B7180" s="6" t="s">
        <v>7136</v>
      </c>
    </row>
    <row r="7181" spans="1:2" x14ac:dyDescent="0.3">
      <c r="A7181" s="7" t="str">
        <f>HYPERLINK("http://www.eatonpowersource.com/products/configure/pumps/details/02-341865","02-341865")</f>
        <v>02-341865</v>
      </c>
      <c r="B7181" s="8" t="s">
        <v>7137</v>
      </c>
    </row>
    <row r="7182" spans="1:2" x14ac:dyDescent="0.3">
      <c r="A7182" s="5" t="str">
        <f>HYPERLINK("http://www.eatonpowersource.com/products/configure/pumps/details/02-341866","02-341866")</f>
        <v>02-341866</v>
      </c>
      <c r="B7182" s="6" t="s">
        <v>7138</v>
      </c>
    </row>
    <row r="7183" spans="1:2" x14ac:dyDescent="0.3">
      <c r="A7183" s="7" t="str">
        <f>HYPERLINK("http://www.eatonpowersource.com/products/configure/pumps/details/02-341867","02-341867")</f>
        <v>02-341867</v>
      </c>
      <c r="B7183" s="8" t="s">
        <v>7139</v>
      </c>
    </row>
    <row r="7184" spans="1:2" x14ac:dyDescent="0.3">
      <c r="A7184" s="5" t="str">
        <f>HYPERLINK("http://www.eatonpowersource.com/products/configure/pumps/details/02-341964","02-341964")</f>
        <v>02-341964</v>
      </c>
      <c r="B7184" s="6" t="s">
        <v>7140</v>
      </c>
    </row>
    <row r="7185" spans="1:2" x14ac:dyDescent="0.3">
      <c r="A7185" s="7" t="str">
        <f>HYPERLINK("http://www.eatonpowersource.com/products/configure/pumps/details/02-347888","02-347888")</f>
        <v>02-347888</v>
      </c>
      <c r="B7185" s="8" t="s">
        <v>7141</v>
      </c>
    </row>
    <row r="7186" spans="1:2" x14ac:dyDescent="0.3">
      <c r="A7186" s="5" t="str">
        <f>HYPERLINK("http://www.eatonpowersource.com/products/configure/pumps/details/02-348962","02-348962")</f>
        <v>02-348962</v>
      </c>
      <c r="B7186" s="6" t="s">
        <v>7142</v>
      </c>
    </row>
    <row r="7187" spans="1:2" x14ac:dyDescent="0.3">
      <c r="A7187" s="7" t="str">
        <f>HYPERLINK("http://www.eatonpowersource.com/products/configure/pumps/details/02-466050","02-466050")</f>
        <v>02-466050</v>
      </c>
      <c r="B7187" s="8" t="s">
        <v>7143</v>
      </c>
    </row>
    <row r="7188" spans="1:2" x14ac:dyDescent="0.3">
      <c r="A7188" s="5" t="str">
        <f>HYPERLINK("http://www.eatonpowersource.com/products/configure/pumps/details/02-466053","02-466053")</f>
        <v>02-466053</v>
      </c>
      <c r="B7188" s="6" t="s">
        <v>7144</v>
      </c>
    </row>
    <row r="7189" spans="1:2" x14ac:dyDescent="0.3">
      <c r="A7189" s="7" t="str">
        <f>HYPERLINK("http://www.eatonpowersource.com/products/configure/pumps/details/02-466218","02-466218")</f>
        <v>02-466218</v>
      </c>
      <c r="B7189" s="8" t="s">
        <v>7145</v>
      </c>
    </row>
    <row r="7190" spans="1:2" x14ac:dyDescent="0.3">
      <c r="A7190" s="5" t="str">
        <f>HYPERLINK("http://www.eatonpowersource.com/products/configure/pumps/details/02-466219","02-466219")</f>
        <v>02-466219</v>
      </c>
      <c r="B7190" s="6" t="s">
        <v>7146</v>
      </c>
    </row>
    <row r="7191" spans="1:2" x14ac:dyDescent="0.3">
      <c r="A7191" s="7" t="str">
        <f>HYPERLINK("http://www.eatonpowersource.com/products/configure/pumps/details/02-466226","02-466226")</f>
        <v>02-466226</v>
      </c>
      <c r="B7191" s="8" t="s">
        <v>7147</v>
      </c>
    </row>
    <row r="7192" spans="1:2" x14ac:dyDescent="0.3">
      <c r="A7192" s="5" t="str">
        <f>HYPERLINK("http://www.eatonpowersource.com/products/configure/pumps/details/02-466227","02-466227")</f>
        <v>02-466227</v>
      </c>
      <c r="B7192" s="6" t="s">
        <v>7148</v>
      </c>
    </row>
    <row r="7193" spans="1:2" x14ac:dyDescent="0.3">
      <c r="A7193" s="7" t="str">
        <f>HYPERLINK("http://www.eatonpowersource.com/products/configure/pumps/details/02-466228","02-466228")</f>
        <v>02-466228</v>
      </c>
      <c r="B7193" s="8" t="s">
        <v>7149</v>
      </c>
    </row>
    <row r="7194" spans="1:2" x14ac:dyDescent="0.3">
      <c r="A7194" s="5" t="str">
        <f>HYPERLINK("http://www.eatonpowersource.com/products/configure/pumps/details/02-466229","02-466229")</f>
        <v>02-466229</v>
      </c>
      <c r="B7194" s="6" t="s">
        <v>7150</v>
      </c>
    </row>
    <row r="7195" spans="1:2" x14ac:dyDescent="0.3">
      <c r="A7195" s="7" t="str">
        <f>HYPERLINK("http://www.eatonpowersource.com/products/configure/pumps/details/411ak00009a","411AK00009A")</f>
        <v>411AK00009A</v>
      </c>
      <c r="B7195" s="8" t="s">
        <v>7151</v>
      </c>
    </row>
    <row r="7196" spans="1:2" x14ac:dyDescent="0.3">
      <c r="A7196" s="5" t="str">
        <f>HYPERLINK("http://www.eatonpowersource.com/products/configure/pumps/details/411ak00022a","411AK00022A")</f>
        <v>411AK00022A</v>
      </c>
      <c r="B7196" s="6" t="s">
        <v>7152</v>
      </c>
    </row>
    <row r="7197" spans="1:2" x14ac:dyDescent="0.3">
      <c r="A7197" s="7" t="str">
        <f>HYPERLINK("http://www.eatonpowersource.com/products/configure/pumps/details/411ak00044a","411AK00044A")</f>
        <v>411AK00044A</v>
      </c>
      <c r="B7197" s="8" t="s">
        <v>7153</v>
      </c>
    </row>
    <row r="7198" spans="1:2" x14ac:dyDescent="0.3">
      <c r="A7198" s="5" t="str">
        <f>HYPERLINK("http://www.eatonpowersource.com/products/configure/pumps/details/411ak00046a","411AK00046A")</f>
        <v>411AK00046A</v>
      </c>
      <c r="B7198" s="6" t="s">
        <v>7154</v>
      </c>
    </row>
    <row r="7199" spans="1:2" x14ac:dyDescent="0.3">
      <c r="A7199" s="7" t="str">
        <f>HYPERLINK("http://www.eatonpowersource.com/products/configure/pumps/details/411ak00069a","411AK00069A")</f>
        <v>411AK00069A</v>
      </c>
      <c r="B7199" s="8" t="s">
        <v>7155</v>
      </c>
    </row>
    <row r="7200" spans="1:2" x14ac:dyDescent="0.3">
      <c r="A7200" s="5" t="str">
        <f>HYPERLINK("http://www.eatonpowersource.com/products/configure/pumps/details/411ak00081a","411AK00081A")</f>
        <v>411AK00081A</v>
      </c>
      <c r="B7200" s="6" t="s">
        <v>7156</v>
      </c>
    </row>
    <row r="7201" spans="1:2" x14ac:dyDescent="0.3">
      <c r="A7201" s="7" t="str">
        <f>HYPERLINK("http://www.eatonpowersource.com/products/configure/pumps/details/411ak00123a","411AK00123A")</f>
        <v>411AK00123A</v>
      </c>
      <c r="B7201" s="8" t="s">
        <v>7157</v>
      </c>
    </row>
    <row r="7202" spans="1:2" x14ac:dyDescent="0.3">
      <c r="A7202" s="5" t="str">
        <f>HYPERLINK("http://www.eatonpowersource.com/products/configure/pumps/details/411ak00128a","411AK00128A")</f>
        <v>411AK00128A</v>
      </c>
      <c r="B7202" s="6" t="s">
        <v>7158</v>
      </c>
    </row>
    <row r="7203" spans="1:2" x14ac:dyDescent="0.3">
      <c r="A7203" s="7" t="str">
        <f>HYPERLINK("http://www.eatonpowersource.com/products/configure/pumps/details/411ak00157a","411AK00157A")</f>
        <v>411AK00157A</v>
      </c>
      <c r="B7203" s="8" t="s">
        <v>7159</v>
      </c>
    </row>
    <row r="7204" spans="1:2" x14ac:dyDescent="0.3">
      <c r="A7204" s="5" t="str">
        <f>HYPERLINK("http://www.eatonpowersource.com/products/configure/pumps/details/411ak00210a","411AK00210A")</f>
        <v>411AK00210A</v>
      </c>
      <c r="B7204" s="6" t="s">
        <v>7160</v>
      </c>
    </row>
    <row r="7205" spans="1:2" x14ac:dyDescent="0.3">
      <c r="A7205" s="7" t="str">
        <f>HYPERLINK("http://www.eatonpowersource.com/products/configure/pumps/details/411ak00327a","411AK00327A")</f>
        <v>411AK00327A</v>
      </c>
      <c r="B7205" s="8" t="s">
        <v>7161</v>
      </c>
    </row>
    <row r="7206" spans="1:2" x14ac:dyDescent="0.3">
      <c r="A7206" s="5" t="str">
        <f>HYPERLINK("http://www.eatonpowersource.com/products/configure/pumps/details/411ak00339a","411AK00339A")</f>
        <v>411AK00339A</v>
      </c>
      <c r="B7206" s="6" t="s">
        <v>7162</v>
      </c>
    </row>
    <row r="7207" spans="1:2" x14ac:dyDescent="0.3">
      <c r="A7207" s="7" t="str">
        <f>HYPERLINK("http://www.eatonpowersource.com/products/configure/pumps/details/411ak00364a","411AK00364A")</f>
        <v>411AK00364A</v>
      </c>
      <c r="B7207" s="8" t="s">
        <v>7163</v>
      </c>
    </row>
    <row r="7208" spans="1:2" x14ac:dyDescent="0.3">
      <c r="A7208" s="5" t="str">
        <f>HYPERLINK("http://www.eatonpowersource.com/products/configure/pumps/details/411ak00365a","411AK00365A")</f>
        <v>411AK00365A</v>
      </c>
      <c r="B7208" s="6" t="s">
        <v>7164</v>
      </c>
    </row>
    <row r="7209" spans="1:2" x14ac:dyDescent="0.3">
      <c r="A7209" s="7" t="str">
        <f>HYPERLINK("http://www.eatonpowersource.com/products/configure/pumps/details/411ak00411a","411AK00411A")</f>
        <v>411AK00411A</v>
      </c>
      <c r="B7209" s="8" t="s">
        <v>7165</v>
      </c>
    </row>
    <row r="7210" spans="1:2" x14ac:dyDescent="0.3">
      <c r="A7210" s="5" t="str">
        <f>HYPERLINK("http://www.eatonpowersource.com/products/configure/pumps/details/411ak00425a","411AK00425A")</f>
        <v>411AK00425A</v>
      </c>
      <c r="B7210" s="6" t="s">
        <v>7166</v>
      </c>
    </row>
    <row r="7211" spans="1:2" x14ac:dyDescent="0.3">
      <c r="A7211" s="7" t="str">
        <f>HYPERLINK("http://www.eatonpowersource.com/products/configure/pumps/details/02-102110","02-102110")</f>
        <v>02-102110</v>
      </c>
      <c r="B7211" s="8" t="s">
        <v>7167</v>
      </c>
    </row>
    <row r="7212" spans="1:2" x14ac:dyDescent="0.3">
      <c r="A7212" s="5" t="str">
        <f>HYPERLINK("http://www.eatonpowersource.com/products/configure/pumps/details/02-102111","02-102111")</f>
        <v>02-102111</v>
      </c>
      <c r="B7212" s="6" t="s">
        <v>7168</v>
      </c>
    </row>
    <row r="7213" spans="1:2" x14ac:dyDescent="0.3">
      <c r="A7213" s="7" t="str">
        <f>HYPERLINK("http://www.eatonpowersource.com/products/configure/pumps/details/02-102869","02-102869")</f>
        <v>02-102869</v>
      </c>
      <c r="B7213" s="8" t="s">
        <v>7169</v>
      </c>
    </row>
    <row r="7214" spans="1:2" x14ac:dyDescent="0.3">
      <c r="A7214" s="5" t="str">
        <f>HYPERLINK("http://www.eatonpowersource.com/products/configure/pumps/details/02-125147","02-125147")</f>
        <v>02-125147</v>
      </c>
      <c r="B7214" s="6" t="s">
        <v>7170</v>
      </c>
    </row>
    <row r="7215" spans="1:2" x14ac:dyDescent="0.3">
      <c r="A7215" s="7" t="str">
        <f>HYPERLINK("http://www.eatonpowersource.com/products/configure/pumps/details/02-125163","02-125163")</f>
        <v>02-125163</v>
      </c>
      <c r="B7215" s="8" t="s">
        <v>7171</v>
      </c>
    </row>
    <row r="7216" spans="1:2" x14ac:dyDescent="0.3">
      <c r="A7216" s="5" t="str">
        <f>HYPERLINK("http://www.eatonpowersource.com/products/configure/pumps/details/02-125268","02-125268")</f>
        <v>02-125268</v>
      </c>
      <c r="B7216" s="6" t="s">
        <v>7172</v>
      </c>
    </row>
    <row r="7217" spans="1:2" x14ac:dyDescent="0.3">
      <c r="A7217" s="7" t="str">
        <f>HYPERLINK("http://www.eatonpowersource.com/products/configure/pumps/details/02-125366","02-125366")</f>
        <v>02-125366</v>
      </c>
      <c r="B7217" s="8" t="s">
        <v>7173</v>
      </c>
    </row>
    <row r="7218" spans="1:2" x14ac:dyDescent="0.3">
      <c r="A7218" s="5" t="str">
        <f>HYPERLINK("http://www.eatonpowersource.com/products/configure/pumps/details/02-125693","02-125693")</f>
        <v>02-125693</v>
      </c>
      <c r="B7218" s="6" t="s">
        <v>7174</v>
      </c>
    </row>
    <row r="7219" spans="1:2" x14ac:dyDescent="0.3">
      <c r="A7219" s="7" t="str">
        <f>HYPERLINK("http://www.eatonpowersource.com/products/configure/pumps/details/02-136765","02-136765")</f>
        <v>02-136765</v>
      </c>
      <c r="B7219" s="8" t="s">
        <v>7175</v>
      </c>
    </row>
    <row r="7220" spans="1:2" x14ac:dyDescent="0.3">
      <c r="A7220" s="5" t="str">
        <f>HYPERLINK("http://www.eatonpowersource.com/products/configure/pumps/details/02-136821","02-136821")</f>
        <v>02-136821</v>
      </c>
      <c r="B7220" s="6" t="s">
        <v>7176</v>
      </c>
    </row>
    <row r="7221" spans="1:2" x14ac:dyDescent="0.3">
      <c r="A7221" s="7" t="str">
        <f>HYPERLINK("http://www.eatonpowersource.com/products/configure/pumps/details/02-136822","02-136822")</f>
        <v>02-136822</v>
      </c>
      <c r="B7221" s="8" t="s">
        <v>7177</v>
      </c>
    </row>
    <row r="7222" spans="1:2" x14ac:dyDescent="0.3">
      <c r="A7222" s="5" t="str">
        <f>HYPERLINK("http://www.eatonpowersource.com/products/configure/pumps/details/02-136957","02-136957")</f>
        <v>02-136957</v>
      </c>
      <c r="B7222" s="6" t="s">
        <v>7178</v>
      </c>
    </row>
    <row r="7223" spans="1:2" x14ac:dyDescent="0.3">
      <c r="A7223" s="7" t="str">
        <f>HYPERLINK("http://www.eatonpowersource.com/products/configure/pumps/details/02-136958","02-136958")</f>
        <v>02-136958</v>
      </c>
      <c r="B7223" s="8" t="s">
        <v>7179</v>
      </c>
    </row>
    <row r="7224" spans="1:2" x14ac:dyDescent="0.3">
      <c r="A7224" s="5" t="str">
        <f>HYPERLINK("http://www.eatonpowersource.com/products/configure/pumps/details/02-137353","02-137353")</f>
        <v>02-137353</v>
      </c>
      <c r="B7224" s="6" t="s">
        <v>7180</v>
      </c>
    </row>
    <row r="7225" spans="1:2" x14ac:dyDescent="0.3">
      <c r="A7225" s="7" t="str">
        <f>HYPERLINK("http://www.eatonpowersource.com/products/configure/pumps/details/02-137493","02-137493")</f>
        <v>02-137493</v>
      </c>
      <c r="B7225" s="8" t="s">
        <v>7181</v>
      </c>
    </row>
    <row r="7226" spans="1:2" x14ac:dyDescent="0.3">
      <c r="A7226" s="5" t="str">
        <f>HYPERLINK("http://www.eatonpowersource.com/products/configure/pumps/details/02-137595","02-137595")</f>
        <v>02-137595</v>
      </c>
      <c r="B7226" s="6" t="s">
        <v>7182</v>
      </c>
    </row>
    <row r="7227" spans="1:2" x14ac:dyDescent="0.3">
      <c r="A7227" s="7" t="str">
        <f>HYPERLINK("http://www.eatonpowersource.com/products/configure/pumps/details/02-137644","02-137644")</f>
        <v>02-137644</v>
      </c>
      <c r="B7227" s="8" t="s">
        <v>7183</v>
      </c>
    </row>
    <row r="7228" spans="1:2" x14ac:dyDescent="0.3">
      <c r="A7228" s="5" t="str">
        <f>HYPERLINK("http://www.eatonpowersource.com/products/configure/pumps/details/02-141758","02-141758")</f>
        <v>02-141758</v>
      </c>
      <c r="B7228" s="6" t="s">
        <v>7184</v>
      </c>
    </row>
    <row r="7229" spans="1:2" x14ac:dyDescent="0.3">
      <c r="A7229" s="7" t="str">
        <f>HYPERLINK("http://www.eatonpowersource.com/products/configure/pumps/details/02-141775","02-141775")</f>
        <v>02-141775</v>
      </c>
      <c r="B7229" s="8" t="s">
        <v>7185</v>
      </c>
    </row>
    <row r="7230" spans="1:2" x14ac:dyDescent="0.3">
      <c r="A7230" s="5" t="str">
        <f>HYPERLINK("http://www.eatonpowersource.com/products/configure/pumps/details/02-142405","02-142405")</f>
        <v>02-142405</v>
      </c>
      <c r="B7230" s="6" t="s">
        <v>7186</v>
      </c>
    </row>
    <row r="7231" spans="1:2" x14ac:dyDescent="0.3">
      <c r="A7231" s="7" t="str">
        <f>HYPERLINK("http://www.eatonpowersource.com/products/configure/pumps/details/02-142599","02-142599")</f>
        <v>02-142599</v>
      </c>
      <c r="B7231" s="8" t="s">
        <v>7187</v>
      </c>
    </row>
    <row r="7232" spans="1:2" x14ac:dyDescent="0.3">
      <c r="A7232" s="5" t="str">
        <f>HYPERLINK("http://www.eatonpowersource.com/products/configure/pumps/details/02-142663","02-142663")</f>
        <v>02-142663</v>
      </c>
      <c r="B7232" s="6" t="s">
        <v>7188</v>
      </c>
    </row>
    <row r="7233" spans="1:2" x14ac:dyDescent="0.3">
      <c r="A7233" s="7" t="str">
        <f>HYPERLINK("http://www.eatonpowersource.com/products/configure/pumps/details/02-142664","02-142664")</f>
        <v>02-142664</v>
      </c>
      <c r="B7233" s="8" t="s">
        <v>7189</v>
      </c>
    </row>
    <row r="7234" spans="1:2" x14ac:dyDescent="0.3">
      <c r="A7234" s="5" t="str">
        <f>HYPERLINK("http://www.eatonpowersource.com/products/configure/pumps/details/02-142665","02-142665")</f>
        <v>02-142665</v>
      </c>
      <c r="B7234" s="6" t="s">
        <v>7190</v>
      </c>
    </row>
    <row r="7235" spans="1:2" x14ac:dyDescent="0.3">
      <c r="A7235" s="7" t="str">
        <f>HYPERLINK("http://www.eatonpowersource.com/products/configure/pumps/details/02-142666","02-142666")</f>
        <v>02-142666</v>
      </c>
      <c r="B7235" s="8" t="s">
        <v>7191</v>
      </c>
    </row>
    <row r="7236" spans="1:2" x14ac:dyDescent="0.3">
      <c r="A7236" s="5" t="str">
        <f>HYPERLINK("http://www.eatonpowersource.com/products/configure/pumps/details/02-142667","02-142667")</f>
        <v>02-142667</v>
      </c>
      <c r="B7236" s="6" t="s">
        <v>7192</v>
      </c>
    </row>
    <row r="7237" spans="1:2" x14ac:dyDescent="0.3">
      <c r="A7237" s="7" t="str">
        <f>HYPERLINK("http://www.eatonpowersource.com/products/configure/pumps/details/02-142766","02-142766")</f>
        <v>02-142766</v>
      </c>
      <c r="B7237" s="8" t="s">
        <v>7193</v>
      </c>
    </row>
    <row r="7238" spans="1:2" x14ac:dyDescent="0.3">
      <c r="A7238" s="5" t="str">
        <f>HYPERLINK("http://www.eatonpowersource.com/products/configure/pumps/details/02-142977","02-142977")</f>
        <v>02-142977</v>
      </c>
      <c r="B7238" s="6" t="s">
        <v>7194</v>
      </c>
    </row>
    <row r="7239" spans="1:2" x14ac:dyDescent="0.3">
      <c r="A7239" s="7" t="str">
        <f>HYPERLINK("http://www.eatonpowersource.com/products/configure/pumps/details/02-143069","02-143069")</f>
        <v>02-143069</v>
      </c>
      <c r="B7239" s="8" t="s">
        <v>7195</v>
      </c>
    </row>
    <row r="7240" spans="1:2" x14ac:dyDescent="0.3">
      <c r="A7240" s="5" t="str">
        <f>HYPERLINK("http://www.eatonpowersource.com/products/configure/pumps/details/02-143466","02-143466")</f>
        <v>02-143466</v>
      </c>
      <c r="B7240" s="6" t="s">
        <v>7196</v>
      </c>
    </row>
    <row r="7241" spans="1:2" x14ac:dyDescent="0.3">
      <c r="A7241" s="7" t="str">
        <f>HYPERLINK("http://www.eatonpowersource.com/products/configure/pumps/details/02-143469","02-143469")</f>
        <v>02-143469</v>
      </c>
      <c r="B7241" s="8" t="s">
        <v>7197</v>
      </c>
    </row>
    <row r="7242" spans="1:2" x14ac:dyDescent="0.3">
      <c r="A7242" s="5" t="str">
        <f>HYPERLINK("http://www.eatonpowersource.com/products/configure/pumps/details/02-151604","02-151604")</f>
        <v>02-151604</v>
      </c>
      <c r="B7242" s="6" t="s">
        <v>7198</v>
      </c>
    </row>
    <row r="7243" spans="1:2" x14ac:dyDescent="0.3">
      <c r="A7243" s="7" t="str">
        <f>HYPERLINK("http://www.eatonpowersource.com/products/configure/pumps/details/02-151615","02-151615")</f>
        <v>02-151615</v>
      </c>
      <c r="B7243" s="8" t="s">
        <v>7199</v>
      </c>
    </row>
    <row r="7244" spans="1:2" x14ac:dyDescent="0.3">
      <c r="A7244" s="5" t="str">
        <f>HYPERLINK("http://www.eatonpowersource.com/products/configure/pumps/details/02-151616","02-151616")</f>
        <v>02-151616</v>
      </c>
      <c r="B7244" s="6" t="s">
        <v>7200</v>
      </c>
    </row>
    <row r="7245" spans="1:2" x14ac:dyDescent="0.3">
      <c r="A7245" s="7" t="str">
        <f>HYPERLINK("http://www.eatonpowersource.com/products/configure/pumps/details/02-151675","02-151675")</f>
        <v>02-151675</v>
      </c>
      <c r="B7245" s="8" t="s">
        <v>7201</v>
      </c>
    </row>
    <row r="7246" spans="1:2" x14ac:dyDescent="0.3">
      <c r="A7246" s="5" t="str">
        <f>HYPERLINK("http://www.eatonpowersource.com/products/configure/pumps/details/02-151676","02-151676")</f>
        <v>02-151676</v>
      </c>
      <c r="B7246" s="6" t="s">
        <v>7202</v>
      </c>
    </row>
    <row r="7247" spans="1:2" x14ac:dyDescent="0.3">
      <c r="A7247" s="7" t="str">
        <f>HYPERLINK("http://www.eatonpowersource.com/products/configure/pumps/details/02-151683","02-151683")</f>
        <v>02-151683</v>
      </c>
      <c r="B7247" s="8" t="s">
        <v>7203</v>
      </c>
    </row>
    <row r="7248" spans="1:2" x14ac:dyDescent="0.3">
      <c r="A7248" s="5" t="str">
        <f>HYPERLINK("http://www.eatonpowersource.com/products/configure/pumps/details/02-151709","02-151709")</f>
        <v>02-151709</v>
      </c>
      <c r="B7248" s="6" t="s">
        <v>7204</v>
      </c>
    </row>
    <row r="7249" spans="1:2" x14ac:dyDescent="0.3">
      <c r="A7249" s="7" t="str">
        <f>HYPERLINK("http://www.eatonpowersource.com/products/configure/pumps/details/02-151863","02-151863")</f>
        <v>02-151863</v>
      </c>
      <c r="B7249" s="8" t="s">
        <v>7205</v>
      </c>
    </row>
    <row r="7250" spans="1:2" x14ac:dyDescent="0.3">
      <c r="A7250" s="5" t="str">
        <f>HYPERLINK("http://www.eatonpowersource.com/products/configure/pumps/details/02-151864","02-151864")</f>
        <v>02-151864</v>
      </c>
      <c r="B7250" s="6" t="s">
        <v>7206</v>
      </c>
    </row>
    <row r="7251" spans="1:2" x14ac:dyDescent="0.3">
      <c r="A7251" s="7" t="str">
        <f>HYPERLINK("http://www.eatonpowersource.com/products/configure/pumps/details/02-151865","02-151865")</f>
        <v>02-151865</v>
      </c>
      <c r="B7251" s="8" t="s">
        <v>7207</v>
      </c>
    </row>
    <row r="7252" spans="1:2" x14ac:dyDescent="0.3">
      <c r="A7252" s="5" t="str">
        <f>HYPERLINK("http://www.eatonpowersource.com/products/configure/pumps/details/02-151867","02-151867")</f>
        <v>02-151867</v>
      </c>
      <c r="B7252" s="6" t="s">
        <v>7208</v>
      </c>
    </row>
    <row r="7253" spans="1:2" x14ac:dyDescent="0.3">
      <c r="A7253" s="7" t="str">
        <f>HYPERLINK("http://www.eatonpowersource.com/products/configure/pumps/details/02-151939","02-151939")</f>
        <v>02-151939</v>
      </c>
      <c r="B7253" s="8" t="s">
        <v>7209</v>
      </c>
    </row>
    <row r="7254" spans="1:2" x14ac:dyDescent="0.3">
      <c r="A7254" s="5" t="str">
        <f>HYPERLINK("http://www.eatonpowersource.com/products/configure/pumps/details/02-151948","02-151948")</f>
        <v>02-151948</v>
      </c>
      <c r="B7254" s="6" t="s">
        <v>7210</v>
      </c>
    </row>
    <row r="7255" spans="1:2" x14ac:dyDescent="0.3">
      <c r="A7255" s="7" t="str">
        <f>HYPERLINK("http://www.eatonpowersource.com/products/configure/pumps/details/02-151965","02-151965")</f>
        <v>02-151965</v>
      </c>
      <c r="B7255" s="8" t="s">
        <v>7211</v>
      </c>
    </row>
    <row r="7256" spans="1:2" x14ac:dyDescent="0.3">
      <c r="A7256" s="5" t="str">
        <f>HYPERLINK("http://www.eatonpowersource.com/products/configure/pumps/details/02-151966","02-151966")</f>
        <v>02-151966</v>
      </c>
      <c r="B7256" s="6" t="s">
        <v>7212</v>
      </c>
    </row>
    <row r="7257" spans="1:2" x14ac:dyDescent="0.3">
      <c r="A7257" s="7" t="str">
        <f>HYPERLINK("http://www.eatonpowersource.com/products/configure/pumps/details/02-152160","02-152160")</f>
        <v>02-152160</v>
      </c>
      <c r="B7257" s="8" t="s">
        <v>7213</v>
      </c>
    </row>
    <row r="7258" spans="1:2" x14ac:dyDescent="0.3">
      <c r="A7258" s="5" t="str">
        <f>HYPERLINK("http://www.eatonpowersource.com/products/configure/pumps/details/02-152165","02-152165")</f>
        <v>02-152165</v>
      </c>
      <c r="B7258" s="6" t="s">
        <v>7214</v>
      </c>
    </row>
    <row r="7259" spans="1:2" x14ac:dyDescent="0.3">
      <c r="A7259" s="7" t="str">
        <f>HYPERLINK("http://www.eatonpowersource.com/products/configure/pumps/details/02-152211","02-152211")</f>
        <v>02-152211</v>
      </c>
      <c r="B7259" s="8" t="s">
        <v>7215</v>
      </c>
    </row>
    <row r="7260" spans="1:2" x14ac:dyDescent="0.3">
      <c r="A7260" s="5" t="str">
        <f>HYPERLINK("http://www.eatonpowersource.com/products/configure/pumps/details/02-152250","02-152250")</f>
        <v>02-152250</v>
      </c>
      <c r="B7260" s="6" t="s">
        <v>7216</v>
      </c>
    </row>
    <row r="7261" spans="1:2" x14ac:dyDescent="0.3">
      <c r="A7261" s="7" t="str">
        <f>HYPERLINK("http://www.eatonpowersource.com/products/configure/pumps/details/02-152264","02-152264")</f>
        <v>02-152264</v>
      </c>
      <c r="B7261" s="8" t="s">
        <v>7217</v>
      </c>
    </row>
    <row r="7262" spans="1:2" x14ac:dyDescent="0.3">
      <c r="A7262" s="5" t="str">
        <f>HYPERLINK("http://www.eatonpowersource.com/products/configure/pumps/details/02-152308","02-152308")</f>
        <v>02-152308</v>
      </c>
      <c r="B7262" s="6" t="s">
        <v>7218</v>
      </c>
    </row>
    <row r="7263" spans="1:2" x14ac:dyDescent="0.3">
      <c r="A7263" s="7" t="str">
        <f>HYPERLINK("http://www.eatonpowersource.com/products/configure/pumps/details/02-152361","02-152361")</f>
        <v>02-152361</v>
      </c>
      <c r="B7263" s="8" t="s">
        <v>7219</v>
      </c>
    </row>
    <row r="7264" spans="1:2" x14ac:dyDescent="0.3">
      <c r="A7264" s="5" t="str">
        <f>HYPERLINK("http://www.eatonpowersource.com/products/configure/pumps/details/02-159950","02-159950")</f>
        <v>02-159950</v>
      </c>
      <c r="B7264" s="6" t="s">
        <v>7220</v>
      </c>
    </row>
    <row r="7265" spans="1:2" x14ac:dyDescent="0.3">
      <c r="A7265" s="7" t="str">
        <f>HYPERLINK("http://www.eatonpowersource.com/products/configure/pumps/details/02-160114","02-160114")</f>
        <v>02-160114</v>
      </c>
      <c r="B7265" s="8" t="s">
        <v>7221</v>
      </c>
    </row>
    <row r="7266" spans="1:2" x14ac:dyDescent="0.3">
      <c r="A7266" s="5" t="str">
        <f>HYPERLINK("http://www.eatonpowersource.com/products/configure/pumps/details/02-160218","02-160218")</f>
        <v>02-160218</v>
      </c>
      <c r="B7266" s="6" t="s">
        <v>7222</v>
      </c>
    </row>
    <row r="7267" spans="1:2" x14ac:dyDescent="0.3">
      <c r="A7267" s="7" t="str">
        <f>HYPERLINK("http://www.eatonpowersource.com/products/configure/pumps/details/02-160246","02-160246")</f>
        <v>02-160246</v>
      </c>
      <c r="B7267" s="8" t="s">
        <v>7223</v>
      </c>
    </row>
    <row r="7268" spans="1:2" x14ac:dyDescent="0.3">
      <c r="A7268" s="5" t="str">
        <f>HYPERLINK("http://www.eatonpowersource.com/products/configure/pumps/details/02-305704","02-305704")</f>
        <v>02-305704</v>
      </c>
      <c r="B7268" s="6" t="s">
        <v>7224</v>
      </c>
    </row>
    <row r="7269" spans="1:2" x14ac:dyDescent="0.3">
      <c r="A7269" s="7" t="str">
        <f>HYPERLINK("http://www.eatonpowersource.com/products/configure/pumps/details/02-305742","02-305742")</f>
        <v>02-305742</v>
      </c>
      <c r="B7269" s="8" t="s">
        <v>7225</v>
      </c>
    </row>
    <row r="7270" spans="1:2" x14ac:dyDescent="0.3">
      <c r="A7270" s="5" t="str">
        <f>HYPERLINK("http://www.eatonpowersource.com/products/configure/pumps/details/02-305801","02-305801")</f>
        <v>02-305801</v>
      </c>
      <c r="B7270" s="6" t="s">
        <v>7226</v>
      </c>
    </row>
    <row r="7271" spans="1:2" x14ac:dyDescent="0.3">
      <c r="A7271" s="7" t="str">
        <f>HYPERLINK("http://www.eatonpowersource.com/products/configure/pumps/details/02-305815","02-305815")</f>
        <v>02-305815</v>
      </c>
      <c r="B7271" s="8" t="s">
        <v>7227</v>
      </c>
    </row>
    <row r="7272" spans="1:2" x14ac:dyDescent="0.3">
      <c r="A7272" s="5" t="str">
        <f>HYPERLINK("http://www.eatonpowersource.com/products/configure/pumps/details/02-306079","02-306079")</f>
        <v>02-306079</v>
      </c>
      <c r="B7272" s="6" t="s">
        <v>7228</v>
      </c>
    </row>
    <row r="7273" spans="1:2" x14ac:dyDescent="0.3">
      <c r="A7273" s="7" t="str">
        <f>HYPERLINK("http://www.eatonpowersource.com/products/configure/pumps/details/02-314844","02-314844")</f>
        <v>02-314844</v>
      </c>
      <c r="B7273" s="8" t="s">
        <v>7229</v>
      </c>
    </row>
    <row r="7274" spans="1:2" x14ac:dyDescent="0.3">
      <c r="A7274" s="5" t="str">
        <f>HYPERLINK("http://www.eatonpowersource.com/products/configure/pumps/details/02-315008","02-315008")</f>
        <v>02-315008</v>
      </c>
      <c r="B7274" s="6" t="s">
        <v>7230</v>
      </c>
    </row>
    <row r="7275" spans="1:2" x14ac:dyDescent="0.3">
      <c r="A7275" s="7" t="str">
        <f>HYPERLINK("http://www.eatonpowersource.com/products/configure/pumps/details/02-315009","02-315009")</f>
        <v>02-315009</v>
      </c>
      <c r="B7275" s="8" t="s">
        <v>7231</v>
      </c>
    </row>
    <row r="7276" spans="1:2" x14ac:dyDescent="0.3">
      <c r="A7276" s="5" t="str">
        <f>HYPERLINK("http://www.eatonpowersource.com/products/configure/pumps/details/02-315146","02-315146")</f>
        <v>02-315146</v>
      </c>
      <c r="B7276" s="6" t="s">
        <v>7232</v>
      </c>
    </row>
    <row r="7277" spans="1:2" x14ac:dyDescent="0.3">
      <c r="A7277" s="7" t="str">
        <f>HYPERLINK("http://www.eatonpowersource.com/products/configure/pumps/details/02-315152","02-315152")</f>
        <v>02-315152</v>
      </c>
      <c r="B7277" s="8" t="s">
        <v>7233</v>
      </c>
    </row>
    <row r="7278" spans="1:2" x14ac:dyDescent="0.3">
      <c r="A7278" s="5" t="str">
        <f>HYPERLINK("http://www.eatonpowersource.com/products/configure/pumps/details/02-315161","02-315161")</f>
        <v>02-315161</v>
      </c>
      <c r="B7278" s="6" t="s">
        <v>7234</v>
      </c>
    </row>
    <row r="7279" spans="1:2" x14ac:dyDescent="0.3">
      <c r="A7279" s="7" t="str">
        <f>HYPERLINK("http://www.eatonpowersource.com/products/configure/pumps/details/02-315163","02-315163")</f>
        <v>02-315163</v>
      </c>
      <c r="B7279" s="8" t="s">
        <v>7235</v>
      </c>
    </row>
    <row r="7280" spans="1:2" x14ac:dyDescent="0.3">
      <c r="A7280" s="5" t="str">
        <f>HYPERLINK("http://www.eatonpowersource.com/products/configure/pumps/details/02-315164","02-315164")</f>
        <v>02-315164</v>
      </c>
      <c r="B7280" s="6" t="s">
        <v>7236</v>
      </c>
    </row>
    <row r="7281" spans="1:2" x14ac:dyDescent="0.3">
      <c r="A7281" s="7" t="str">
        <f>HYPERLINK("http://www.eatonpowersource.com/products/configure/pumps/details/02-315200","02-315200")</f>
        <v>02-315200</v>
      </c>
      <c r="B7281" s="8" t="s">
        <v>7237</v>
      </c>
    </row>
    <row r="7282" spans="1:2" x14ac:dyDescent="0.3">
      <c r="A7282" s="5" t="str">
        <f>HYPERLINK("http://www.eatonpowersource.com/products/configure/pumps/details/02-315214","02-315214")</f>
        <v>02-315214</v>
      </c>
      <c r="B7282" s="6" t="s">
        <v>7238</v>
      </c>
    </row>
    <row r="7283" spans="1:2" x14ac:dyDescent="0.3">
      <c r="A7283" s="7" t="str">
        <f>HYPERLINK("http://www.eatonpowersource.com/products/configure/pumps/details/02-315215","02-315215")</f>
        <v>02-315215</v>
      </c>
      <c r="B7283" s="8" t="s">
        <v>7239</v>
      </c>
    </row>
    <row r="7284" spans="1:2" x14ac:dyDescent="0.3">
      <c r="A7284" s="5" t="str">
        <f>HYPERLINK("http://www.eatonpowersource.com/products/configure/pumps/details/02-315313","02-315313")</f>
        <v>02-315313</v>
      </c>
      <c r="B7284" s="6" t="s">
        <v>7240</v>
      </c>
    </row>
    <row r="7285" spans="1:2" x14ac:dyDescent="0.3">
      <c r="A7285" s="7" t="str">
        <f>HYPERLINK("http://www.eatonpowersource.com/products/configure/pumps/details/02-315324","02-315324")</f>
        <v>02-315324</v>
      </c>
      <c r="B7285" s="8" t="s">
        <v>7241</v>
      </c>
    </row>
    <row r="7286" spans="1:2" x14ac:dyDescent="0.3">
      <c r="A7286" s="5" t="str">
        <f>HYPERLINK("http://www.eatonpowersource.com/products/configure/pumps/details/02-315325","02-315325")</f>
        <v>02-315325</v>
      </c>
      <c r="B7286" s="6" t="s">
        <v>7242</v>
      </c>
    </row>
    <row r="7287" spans="1:2" x14ac:dyDescent="0.3">
      <c r="A7287" s="7" t="str">
        <f>HYPERLINK("http://www.eatonpowersource.com/products/configure/pumps/details/02-315331","02-315331")</f>
        <v>02-315331</v>
      </c>
      <c r="B7287" s="8" t="s">
        <v>7243</v>
      </c>
    </row>
    <row r="7288" spans="1:2" x14ac:dyDescent="0.3">
      <c r="A7288" s="5" t="str">
        <f>HYPERLINK("http://www.eatonpowersource.com/products/configure/pumps/details/02-315355","02-315355")</f>
        <v>02-315355</v>
      </c>
      <c r="B7288" s="6" t="s">
        <v>7244</v>
      </c>
    </row>
    <row r="7289" spans="1:2" x14ac:dyDescent="0.3">
      <c r="A7289" s="7" t="str">
        <f>HYPERLINK("http://www.eatonpowersource.com/products/configure/pumps/details/02-315562","02-315562")</f>
        <v>02-315562</v>
      </c>
      <c r="B7289" s="8" t="s">
        <v>7245</v>
      </c>
    </row>
    <row r="7290" spans="1:2" x14ac:dyDescent="0.3">
      <c r="A7290" s="5" t="str">
        <f>HYPERLINK("http://www.eatonpowersource.com/products/configure/pumps/details/02-319014","02-319014")</f>
        <v>02-319014</v>
      </c>
      <c r="B7290" s="6" t="s">
        <v>7246</v>
      </c>
    </row>
    <row r="7291" spans="1:2" x14ac:dyDescent="0.3">
      <c r="A7291" s="7" t="str">
        <f>HYPERLINK("http://www.eatonpowersource.com/products/configure/pumps/details/02-328001","02-328001")</f>
        <v>02-328001</v>
      </c>
      <c r="B7291" s="8" t="s">
        <v>7247</v>
      </c>
    </row>
    <row r="7292" spans="1:2" x14ac:dyDescent="0.3">
      <c r="A7292" s="5" t="str">
        <f>HYPERLINK("http://www.eatonpowersource.com/products/configure/pumps/details/02-328002","02-328002")</f>
        <v>02-328002</v>
      </c>
      <c r="B7292" s="6" t="s">
        <v>7248</v>
      </c>
    </row>
    <row r="7293" spans="1:2" x14ac:dyDescent="0.3">
      <c r="A7293" s="7" t="str">
        <f>HYPERLINK("http://www.eatonpowersource.com/products/configure/pumps/details/02-328216","02-328216")</f>
        <v>02-328216</v>
      </c>
      <c r="B7293" s="8" t="s">
        <v>7249</v>
      </c>
    </row>
    <row r="7294" spans="1:2" x14ac:dyDescent="0.3">
      <c r="A7294" s="5" t="str">
        <f>HYPERLINK("http://www.eatonpowersource.com/products/configure/pumps/details/02-328232","02-328232")</f>
        <v>02-328232</v>
      </c>
      <c r="B7294" s="6" t="s">
        <v>7250</v>
      </c>
    </row>
    <row r="7295" spans="1:2" x14ac:dyDescent="0.3">
      <c r="A7295" s="7" t="str">
        <f>HYPERLINK("http://www.eatonpowersource.com/products/configure/pumps/details/02-328237","02-328237")</f>
        <v>02-328237</v>
      </c>
      <c r="B7295" s="8" t="s">
        <v>7251</v>
      </c>
    </row>
    <row r="7296" spans="1:2" x14ac:dyDescent="0.3">
      <c r="A7296" s="5" t="str">
        <f>HYPERLINK("http://www.eatonpowersource.com/products/configure/pumps/details/02-334368","02-334368")</f>
        <v>02-334368</v>
      </c>
      <c r="B7296" s="6" t="s">
        <v>7252</v>
      </c>
    </row>
    <row r="7297" spans="1:2" x14ac:dyDescent="0.3">
      <c r="A7297" s="7" t="str">
        <f>HYPERLINK("http://www.eatonpowersource.com/products/configure/pumps/details/02-334369","02-334369")</f>
        <v>02-334369</v>
      </c>
      <c r="B7297" s="8" t="s">
        <v>7253</v>
      </c>
    </row>
    <row r="7298" spans="1:2" x14ac:dyDescent="0.3">
      <c r="A7298" s="5" t="str">
        <f>HYPERLINK("http://www.eatonpowersource.com/products/configure/pumps/details/02-334454","02-334454")</f>
        <v>02-334454</v>
      </c>
      <c r="B7298" s="6" t="s">
        <v>7254</v>
      </c>
    </row>
    <row r="7299" spans="1:2" x14ac:dyDescent="0.3">
      <c r="A7299" s="7" t="str">
        <f>HYPERLINK("http://www.eatonpowersource.com/products/configure/pumps/details/02-334632","02-334632")</f>
        <v>02-334632</v>
      </c>
      <c r="B7299" s="8" t="s">
        <v>7255</v>
      </c>
    </row>
    <row r="7300" spans="1:2" x14ac:dyDescent="0.3">
      <c r="A7300" s="5" t="str">
        <f>HYPERLINK("http://www.eatonpowersource.com/products/configure/pumps/details/02-334709","02-334709")</f>
        <v>02-334709</v>
      </c>
      <c r="B7300" s="6" t="s">
        <v>7256</v>
      </c>
    </row>
    <row r="7301" spans="1:2" x14ac:dyDescent="0.3">
      <c r="A7301" s="7" t="str">
        <f>HYPERLINK("http://www.eatonpowersource.com/products/configure/pumps/details/02-334710","02-334710")</f>
        <v>02-334710</v>
      </c>
      <c r="B7301" s="8" t="s">
        <v>7257</v>
      </c>
    </row>
    <row r="7302" spans="1:2" x14ac:dyDescent="0.3">
      <c r="A7302" s="5" t="str">
        <f>HYPERLINK("http://www.eatonpowersource.com/products/configure/pumps/details/02-334759","02-334759")</f>
        <v>02-334759</v>
      </c>
      <c r="B7302" s="6" t="s">
        <v>7258</v>
      </c>
    </row>
    <row r="7303" spans="1:2" x14ac:dyDescent="0.3">
      <c r="A7303" s="7" t="str">
        <f>HYPERLINK("http://www.eatonpowersource.com/products/configure/pumps/details/02-334993","02-334993")</f>
        <v>02-334993</v>
      </c>
      <c r="B7303" s="8" t="s">
        <v>7259</v>
      </c>
    </row>
    <row r="7304" spans="1:2" x14ac:dyDescent="0.3">
      <c r="A7304" s="5" t="str">
        <f>HYPERLINK("http://www.eatonpowersource.com/products/configure/pumps/details/02-335094","02-335094")</f>
        <v>02-335094</v>
      </c>
      <c r="B7304" s="6" t="s">
        <v>7260</v>
      </c>
    </row>
    <row r="7305" spans="1:2" x14ac:dyDescent="0.3">
      <c r="A7305" s="7" t="str">
        <f>HYPERLINK("http://www.eatonpowersource.com/products/configure/pumps/details/02-335098","02-335098")</f>
        <v>02-335098</v>
      </c>
      <c r="B7305" s="8" t="s">
        <v>7261</v>
      </c>
    </row>
    <row r="7306" spans="1:2" x14ac:dyDescent="0.3">
      <c r="A7306" s="5" t="str">
        <f>HYPERLINK("http://www.eatonpowersource.com/products/configure/pumps/details/02-335099","02-335099")</f>
        <v>02-335099</v>
      </c>
      <c r="B7306" s="6" t="s">
        <v>7262</v>
      </c>
    </row>
    <row r="7307" spans="1:2" x14ac:dyDescent="0.3">
      <c r="A7307" s="7" t="str">
        <f>HYPERLINK("http://www.eatonpowersource.com/products/configure/pumps/details/02-335302","02-335302")</f>
        <v>02-335302</v>
      </c>
      <c r="B7307" s="8" t="s">
        <v>7263</v>
      </c>
    </row>
    <row r="7308" spans="1:2" x14ac:dyDescent="0.3">
      <c r="A7308" s="5" t="str">
        <f>HYPERLINK("http://www.eatonpowersource.com/products/configure/pumps/details/02-335465","02-335465")</f>
        <v>02-335465</v>
      </c>
      <c r="B7308" s="6" t="s">
        <v>7264</v>
      </c>
    </row>
    <row r="7309" spans="1:2" x14ac:dyDescent="0.3">
      <c r="A7309" s="7" t="str">
        <f>HYPERLINK("http://www.eatonpowersource.com/products/configure/pumps/details/02-340307","02-340307")</f>
        <v>02-340307</v>
      </c>
      <c r="B7309" s="8" t="s">
        <v>7265</v>
      </c>
    </row>
    <row r="7310" spans="1:2" x14ac:dyDescent="0.3">
      <c r="A7310" s="5" t="str">
        <f>HYPERLINK("http://www.eatonpowersource.com/products/configure/pumps/details/02-340767","02-340767")</f>
        <v>02-340767</v>
      </c>
      <c r="B7310" s="6" t="s">
        <v>7266</v>
      </c>
    </row>
    <row r="7311" spans="1:2" x14ac:dyDescent="0.3">
      <c r="A7311" s="7" t="str">
        <f>HYPERLINK("http://www.eatonpowersource.com/products/configure/pumps/details/02-341159","02-341159")</f>
        <v>02-341159</v>
      </c>
      <c r="B7311" s="8" t="s">
        <v>7267</v>
      </c>
    </row>
    <row r="7312" spans="1:2" x14ac:dyDescent="0.3">
      <c r="A7312" s="5" t="str">
        <f>HYPERLINK("http://www.eatonpowersource.com/products/configure/pumps/details/02-341223","02-341223")</f>
        <v>02-341223</v>
      </c>
      <c r="B7312" s="6" t="s">
        <v>7268</v>
      </c>
    </row>
    <row r="7313" spans="1:2" x14ac:dyDescent="0.3">
      <c r="A7313" s="7" t="str">
        <f>HYPERLINK("http://www.eatonpowersource.com/products/configure/pumps/details/02-341372","02-341372")</f>
        <v>02-341372</v>
      </c>
      <c r="B7313" s="8" t="s">
        <v>7269</v>
      </c>
    </row>
    <row r="7314" spans="1:2" x14ac:dyDescent="0.3">
      <c r="A7314" s="5" t="str">
        <f>HYPERLINK("http://www.eatonpowersource.com/products/configure/pumps/details/02-341398","02-341398")</f>
        <v>02-341398</v>
      </c>
      <c r="B7314" s="6" t="s">
        <v>7270</v>
      </c>
    </row>
    <row r="7315" spans="1:2" x14ac:dyDescent="0.3">
      <c r="A7315" s="7" t="str">
        <f>HYPERLINK("http://www.eatonpowersource.com/products/configure/pumps/details/02-341402","02-341402")</f>
        <v>02-341402</v>
      </c>
      <c r="B7315" s="8" t="s">
        <v>7271</v>
      </c>
    </row>
    <row r="7316" spans="1:2" x14ac:dyDescent="0.3">
      <c r="A7316" s="5" t="str">
        <f>HYPERLINK("http://www.eatonpowersource.com/products/configure/pumps/details/02-341571","02-341571")</f>
        <v>02-341571</v>
      </c>
      <c r="B7316" s="6" t="s">
        <v>7272</v>
      </c>
    </row>
    <row r="7317" spans="1:2" x14ac:dyDescent="0.3">
      <c r="A7317" s="7" t="str">
        <f>HYPERLINK("http://www.eatonpowersource.com/products/configure/pumps/details/02-341572","02-341572")</f>
        <v>02-341572</v>
      </c>
      <c r="B7317" s="8" t="s">
        <v>7273</v>
      </c>
    </row>
    <row r="7318" spans="1:2" x14ac:dyDescent="0.3">
      <c r="A7318" s="5" t="str">
        <f>HYPERLINK("http://www.eatonpowersource.com/products/configure/pumps/details/02-345319","02-345319")</f>
        <v>02-345319</v>
      </c>
      <c r="B7318" s="6" t="s">
        <v>7274</v>
      </c>
    </row>
    <row r="7319" spans="1:2" x14ac:dyDescent="0.3">
      <c r="A7319" s="7" t="str">
        <f>HYPERLINK("http://www.eatonpowersource.com/products/configure/pumps/details/02-345388","02-345388")</f>
        <v>02-345388</v>
      </c>
      <c r="B7319" s="8" t="s">
        <v>7275</v>
      </c>
    </row>
    <row r="7320" spans="1:2" x14ac:dyDescent="0.3">
      <c r="A7320" s="5" t="str">
        <f>HYPERLINK("http://www.eatonpowersource.com/products/configure/pumps/details/02-345544","02-345544")</f>
        <v>02-345544</v>
      </c>
      <c r="B7320" s="6" t="s">
        <v>7276</v>
      </c>
    </row>
    <row r="7321" spans="1:2" x14ac:dyDescent="0.3">
      <c r="A7321" s="7" t="str">
        <f>HYPERLINK("http://www.eatonpowersource.com/products/configure/pumps/details/02-345581","02-345581")</f>
        <v>02-345581</v>
      </c>
      <c r="B7321" s="8" t="s">
        <v>7277</v>
      </c>
    </row>
    <row r="7322" spans="1:2" x14ac:dyDescent="0.3">
      <c r="A7322" s="5" t="str">
        <f>HYPERLINK("http://www.eatonpowersource.com/products/configure/pumps/details/02-345908","02-345908")</f>
        <v>02-345908</v>
      </c>
      <c r="B7322" s="6" t="s">
        <v>7278</v>
      </c>
    </row>
    <row r="7323" spans="1:2" x14ac:dyDescent="0.3">
      <c r="A7323" s="7" t="str">
        <f>HYPERLINK("http://www.eatonpowersource.com/products/configure/pumps/details/02-345926","02-345926")</f>
        <v>02-345926</v>
      </c>
      <c r="B7323" s="8" t="s">
        <v>7279</v>
      </c>
    </row>
    <row r="7324" spans="1:2" x14ac:dyDescent="0.3">
      <c r="A7324" s="5" t="str">
        <f>HYPERLINK("http://www.eatonpowersource.com/products/configure/pumps/details/02-346207","02-346207")</f>
        <v>02-346207</v>
      </c>
      <c r="B7324" s="6" t="s">
        <v>7280</v>
      </c>
    </row>
    <row r="7325" spans="1:2" x14ac:dyDescent="0.3">
      <c r="A7325" s="7" t="str">
        <f>HYPERLINK("http://www.eatonpowersource.com/products/configure/pumps/details/02-346516","02-346516")</f>
        <v>02-346516</v>
      </c>
      <c r="B7325" s="8" t="s">
        <v>7281</v>
      </c>
    </row>
    <row r="7326" spans="1:2" x14ac:dyDescent="0.3">
      <c r="A7326" s="5" t="str">
        <f>HYPERLINK("http://www.eatonpowersource.com/products/configure/pumps/details/02-346529","02-346529")</f>
        <v>02-346529</v>
      </c>
      <c r="B7326" s="6" t="s">
        <v>7282</v>
      </c>
    </row>
    <row r="7327" spans="1:2" x14ac:dyDescent="0.3">
      <c r="A7327" s="7" t="str">
        <f>HYPERLINK("http://www.eatonpowersource.com/products/configure/pumps/details/02-346599","02-346599")</f>
        <v>02-346599</v>
      </c>
      <c r="B7327" s="8" t="s">
        <v>7283</v>
      </c>
    </row>
    <row r="7328" spans="1:2" x14ac:dyDescent="0.3">
      <c r="A7328" s="5" t="str">
        <f>HYPERLINK("http://www.eatonpowersource.com/products/configure/pumps/details/02-346600","02-346600")</f>
        <v>02-346600</v>
      </c>
      <c r="B7328" s="6" t="s">
        <v>7284</v>
      </c>
    </row>
    <row r="7329" spans="1:2" x14ac:dyDescent="0.3">
      <c r="A7329" s="7" t="str">
        <f>HYPERLINK("http://www.eatonpowersource.com/products/configure/pumps/details/02-346820","02-346820")</f>
        <v>02-346820</v>
      </c>
      <c r="B7329" s="8" t="s">
        <v>7285</v>
      </c>
    </row>
    <row r="7330" spans="1:2" x14ac:dyDescent="0.3">
      <c r="A7330" s="5" t="str">
        <f>HYPERLINK("http://www.eatonpowersource.com/products/configure/pumps/details/02-347030","02-347030")</f>
        <v>02-347030</v>
      </c>
      <c r="B7330" s="6" t="s">
        <v>7286</v>
      </c>
    </row>
    <row r="7331" spans="1:2" x14ac:dyDescent="0.3">
      <c r="A7331" s="7" t="str">
        <f>HYPERLINK("http://www.eatonpowersource.com/products/configure/pumps/details/02-347620","02-347620")</f>
        <v>02-347620</v>
      </c>
      <c r="B7331" s="8" t="s">
        <v>7287</v>
      </c>
    </row>
    <row r="7332" spans="1:2" x14ac:dyDescent="0.3">
      <c r="A7332" s="5" t="str">
        <f>HYPERLINK("http://www.eatonpowersource.com/products/configure/pumps/details/02-347751","02-347751")</f>
        <v>02-347751</v>
      </c>
      <c r="B7332" s="6" t="s">
        <v>7288</v>
      </c>
    </row>
    <row r="7333" spans="1:2" x14ac:dyDescent="0.3">
      <c r="A7333" s="7" t="str">
        <f>HYPERLINK("http://www.eatonpowersource.com/products/configure/pumps/details/02-348139","02-348139")</f>
        <v>02-348139</v>
      </c>
      <c r="B7333" s="8" t="s">
        <v>7289</v>
      </c>
    </row>
    <row r="7334" spans="1:2" x14ac:dyDescent="0.3">
      <c r="A7334" s="5" t="str">
        <f>HYPERLINK("http://www.eatonpowersource.com/products/configure/pumps/details/02-348379","02-348379")</f>
        <v>02-348379</v>
      </c>
      <c r="B7334" s="6" t="s">
        <v>7290</v>
      </c>
    </row>
    <row r="7335" spans="1:2" x14ac:dyDescent="0.3">
      <c r="A7335" s="7" t="str">
        <f>HYPERLINK("http://www.eatonpowersource.com/products/configure/pumps/details/02-348502","02-348502")</f>
        <v>02-348502</v>
      </c>
      <c r="B7335" s="8" t="s">
        <v>7291</v>
      </c>
    </row>
    <row r="7336" spans="1:2" x14ac:dyDescent="0.3">
      <c r="A7336" s="5" t="str">
        <f>HYPERLINK("http://www.eatonpowersource.com/products/configure/pumps/details/02-466034","02-466034")</f>
        <v>02-466034</v>
      </c>
      <c r="B7336" s="6" t="s">
        <v>7292</v>
      </c>
    </row>
    <row r="7337" spans="1:2" x14ac:dyDescent="0.3">
      <c r="A7337" s="7" t="str">
        <f>HYPERLINK("http://www.eatonpowersource.com/products/configure/pumps/details/02-466121","02-466121")</f>
        <v>02-466121</v>
      </c>
      <c r="B7337" s="8" t="s">
        <v>7293</v>
      </c>
    </row>
    <row r="7338" spans="1:2" x14ac:dyDescent="0.3">
      <c r="A7338" s="5" t="str">
        <f>HYPERLINK("http://www.eatonpowersource.com/products/configure/pumps/details/02-466743","02-466743")</f>
        <v>02-466743</v>
      </c>
      <c r="B7338" s="6" t="s">
        <v>7294</v>
      </c>
    </row>
    <row r="7339" spans="1:2" x14ac:dyDescent="0.3">
      <c r="A7339" s="7" t="str">
        <f>HYPERLINK("http://www.eatonpowersource.com/products/configure/pumps/details/513894","513894")</f>
        <v>513894</v>
      </c>
      <c r="B7339" s="8" t="s">
        <v>7295</v>
      </c>
    </row>
    <row r="7340" spans="1:2" x14ac:dyDescent="0.3">
      <c r="A7340" s="5" t="str">
        <f>HYPERLINK("http://www.eatonpowersource.com/products/configure/pumps/details/526674","526674")</f>
        <v>526674</v>
      </c>
      <c r="B7340" s="6" t="s">
        <v>7296</v>
      </c>
    </row>
    <row r="7341" spans="1:2" x14ac:dyDescent="0.3">
      <c r="A7341" s="7" t="str">
        <f>HYPERLINK("http://www.eatonpowersource.com/products/configure/pumps/details/611ak00099a","611AK00099A")</f>
        <v>611AK00099A</v>
      </c>
      <c r="B7341" s="8" t="s">
        <v>7297</v>
      </c>
    </row>
    <row r="7342" spans="1:2" x14ac:dyDescent="0.3">
      <c r="A7342" s="5" t="str">
        <f>HYPERLINK("http://www.eatonpowersource.com/products/configure/pumps/details/611ak00183a","611AK00183A")</f>
        <v>611AK00183A</v>
      </c>
      <c r="B7342" s="6" t="s">
        <v>7298</v>
      </c>
    </row>
    <row r="7343" spans="1:2" x14ac:dyDescent="0.3">
      <c r="A7343" s="7" t="str">
        <f>HYPERLINK("http://www.eatonpowersource.com/products/configure/pumps/details/611ak00200a","611AK00200A")</f>
        <v>611AK00200A</v>
      </c>
      <c r="B7343" s="8" t="s">
        <v>7299</v>
      </c>
    </row>
    <row r="7344" spans="1:2" x14ac:dyDescent="0.3">
      <c r="A7344" s="5" t="str">
        <f>HYPERLINK("http://www.eatonpowersource.com/products/configure/pumps/details/611ak00384a","611AK00384A")</f>
        <v>611AK00384A</v>
      </c>
      <c r="B7344" s="6" t="s">
        <v>7300</v>
      </c>
    </row>
    <row r="7345" spans="1:2" x14ac:dyDescent="0.3">
      <c r="A7345" s="7" t="str">
        <f>HYPERLINK("http://www.eatonpowersource.com/products/configure/pumps/details/611ak00425a","611AK00425A")</f>
        <v>611AK00425A</v>
      </c>
      <c r="B7345" s="8" t="s">
        <v>7301</v>
      </c>
    </row>
    <row r="7346" spans="1:2" x14ac:dyDescent="0.3">
      <c r="A7346" s="5" t="str">
        <f>HYPERLINK("http://www.eatonpowersource.com/products/configure/pumps/details/611ak00426a","611AK00426A")</f>
        <v>611AK00426A</v>
      </c>
      <c r="B7346" s="6" t="s">
        <v>7302</v>
      </c>
    </row>
    <row r="7347" spans="1:2" x14ac:dyDescent="0.3">
      <c r="A7347" s="7" t="str">
        <f>HYPERLINK("http://www.eatonpowersource.com/products/configure/pumps/details/611ak00508a","611AK00508A")</f>
        <v>611AK00508A</v>
      </c>
      <c r="B7347" s="8" t="s">
        <v>7303</v>
      </c>
    </row>
    <row r="7348" spans="1:2" x14ac:dyDescent="0.3">
      <c r="A7348" s="5" t="str">
        <f>HYPERLINK("http://www.eatonpowersource.com/products/configure/pumps/details/692921","692921")</f>
        <v>692921</v>
      </c>
      <c r="B7348" s="6" t="s">
        <v>7304</v>
      </c>
    </row>
    <row r="7349" spans="1:2" x14ac:dyDescent="0.3">
      <c r="A7349" s="7" t="str">
        <f>HYPERLINK("http://www.eatonpowersource.com/products/configure/pumps/details/692925","692925")</f>
        <v>692925</v>
      </c>
      <c r="B7349" s="8" t="s">
        <v>7305</v>
      </c>
    </row>
    <row r="7350" spans="1:2" x14ac:dyDescent="0.3">
      <c r="A7350" s="5" t="str">
        <f>HYPERLINK("http://www.eatonpowersource.com/products/configure/pumps/details/692929","692929")</f>
        <v>692929</v>
      </c>
      <c r="B7350" s="6" t="s">
        <v>7306</v>
      </c>
    </row>
    <row r="7351" spans="1:2" x14ac:dyDescent="0.3">
      <c r="A7351" s="7" t="str">
        <f>HYPERLINK("http://www.eatonpowersource.com/products/configure/pumps/details/877000","877000")</f>
        <v>877000</v>
      </c>
      <c r="B7351" s="8" t="s">
        <v>7307</v>
      </c>
    </row>
    <row r="7352" spans="1:2" x14ac:dyDescent="0.3">
      <c r="A7352" s="5" t="str">
        <f>HYPERLINK("http://www.eatonpowersource.com/products/configure/pumps/details/877001","877001")</f>
        <v>877001</v>
      </c>
      <c r="B7352" s="6" t="s">
        <v>7308</v>
      </c>
    </row>
    <row r="7353" spans="1:2" x14ac:dyDescent="0.3">
      <c r="A7353" s="7" t="str">
        <f>HYPERLINK("http://www.eatonpowersource.com/products/configure/pumps/details/877002","877002")</f>
        <v>877002</v>
      </c>
      <c r="B7353" s="8" t="s">
        <v>7309</v>
      </c>
    </row>
    <row r="7354" spans="1:2" x14ac:dyDescent="0.3">
      <c r="A7354" s="5" t="str">
        <f>HYPERLINK("http://www.eatonpowersource.com/products/configure/pumps/details/877003","877003")</f>
        <v>877003</v>
      </c>
      <c r="B7354" s="6" t="s">
        <v>7310</v>
      </c>
    </row>
    <row r="7355" spans="1:2" x14ac:dyDescent="0.3">
      <c r="A7355" s="7" t="str">
        <f>HYPERLINK("http://www.eatonpowersource.com/products/configure/pumps/details/877005","877005")</f>
        <v>877005</v>
      </c>
      <c r="B7355" s="8" t="s">
        <v>7311</v>
      </c>
    </row>
    <row r="7356" spans="1:2" x14ac:dyDescent="0.3">
      <c r="A7356" s="5" t="str">
        <f>HYPERLINK("http://www.eatonpowersource.com/products/configure/pumps/details/877006","877006")</f>
        <v>877006</v>
      </c>
      <c r="B7356" s="6" t="s">
        <v>7312</v>
      </c>
    </row>
    <row r="7357" spans="1:2" x14ac:dyDescent="0.3">
      <c r="A7357" s="7" t="str">
        <f>HYPERLINK("http://www.eatonpowersource.com/products/configure/pumps/details/877008","877008")</f>
        <v>877008</v>
      </c>
      <c r="B7357" s="8" t="s">
        <v>7313</v>
      </c>
    </row>
    <row r="7358" spans="1:2" x14ac:dyDescent="0.3">
      <c r="A7358" s="5" t="str">
        <f>HYPERLINK("http://www.eatonpowersource.com/products/configure/pumps/details/877009","877009")</f>
        <v>877009</v>
      </c>
      <c r="B7358" s="6" t="s">
        <v>7314</v>
      </c>
    </row>
    <row r="7359" spans="1:2" x14ac:dyDescent="0.3">
      <c r="A7359" s="7" t="str">
        <f>HYPERLINK("http://www.eatonpowersource.com/products/configure/pumps/details/877012","877012")</f>
        <v>877012</v>
      </c>
      <c r="B7359" s="8" t="s">
        <v>7315</v>
      </c>
    </row>
    <row r="7360" spans="1:2" x14ac:dyDescent="0.3">
      <c r="A7360" s="5" t="str">
        <f>HYPERLINK("http://www.eatonpowersource.com/products/configure/pumps/details/877013","877013")</f>
        <v>877013</v>
      </c>
      <c r="B7360" s="6" t="s">
        <v>7316</v>
      </c>
    </row>
    <row r="7361" spans="1:2" x14ac:dyDescent="0.3">
      <c r="A7361" s="7" t="str">
        <f>HYPERLINK("http://www.eatonpowersource.com/products/configure/pumps/details/877023","877023")</f>
        <v>877023</v>
      </c>
      <c r="B7361" s="8" t="s">
        <v>7317</v>
      </c>
    </row>
    <row r="7362" spans="1:2" x14ac:dyDescent="0.3">
      <c r="A7362" s="5" t="str">
        <f>HYPERLINK("http://www.eatonpowersource.com/products/configure/pumps/details/877366","877366")</f>
        <v>877366</v>
      </c>
      <c r="B7362" s="6" t="s">
        <v>7318</v>
      </c>
    </row>
    <row r="7363" spans="1:2" x14ac:dyDescent="0.3">
      <c r="A7363" s="7" t="str">
        <f>HYPERLINK("http://www.eatonpowersource.com/products/configure/pumps/details/877367","877367")</f>
        <v>877367</v>
      </c>
      <c r="B7363" s="8" t="s">
        <v>7319</v>
      </c>
    </row>
    <row r="7364" spans="1:2" x14ac:dyDescent="0.3">
      <c r="A7364" s="5" t="str">
        <f>HYPERLINK("http://www.eatonpowersource.com/products/configure/pumps/details/877370","877370")</f>
        <v>877370</v>
      </c>
      <c r="B7364" s="6" t="s">
        <v>7320</v>
      </c>
    </row>
    <row r="7365" spans="1:2" x14ac:dyDescent="0.3">
      <c r="A7365" s="7" t="str">
        <f>HYPERLINK("http://www.eatonpowersource.com/products/configure/pumps/details/877428","877428")</f>
        <v>877428</v>
      </c>
      <c r="B7365" s="8" t="s">
        <v>7321</v>
      </c>
    </row>
    <row r="7366" spans="1:2" x14ac:dyDescent="0.3">
      <c r="A7366" s="5" t="str">
        <f>HYPERLINK("http://www.eatonpowersource.com/products/configure/pumps/details/877429","877429")</f>
        <v>877429</v>
      </c>
      <c r="B7366" s="6" t="s">
        <v>7322</v>
      </c>
    </row>
    <row r="7367" spans="1:2" x14ac:dyDescent="0.3">
      <c r="A7367" s="7" t="str">
        <f>HYPERLINK("http://www.eatonpowersource.com/products/configure/pumps/details/877430","877430")</f>
        <v>877430</v>
      </c>
      <c r="B7367" s="8" t="s">
        <v>7323</v>
      </c>
    </row>
    <row r="7368" spans="1:2" x14ac:dyDescent="0.3">
      <c r="A7368" s="5" t="str">
        <f>HYPERLINK("http://www.eatonpowersource.com/products/configure/pumps/details/877432","877432")</f>
        <v>877432</v>
      </c>
      <c r="B7368" s="6" t="s">
        <v>7324</v>
      </c>
    </row>
    <row r="7369" spans="1:2" x14ac:dyDescent="0.3">
      <c r="A7369" s="7" t="str">
        <f>HYPERLINK("http://www.eatonpowersource.com/products/configure/pumps/details/877433","877433")</f>
        <v>877433</v>
      </c>
      <c r="B7369" s="8" t="s">
        <v>7325</v>
      </c>
    </row>
    <row r="7370" spans="1:2" x14ac:dyDescent="0.3">
      <c r="A7370" s="5" t="str">
        <f>HYPERLINK("http://www.eatonpowersource.com/products/configure/pumps/details/877435","877435")</f>
        <v>877435</v>
      </c>
      <c r="B7370" s="6" t="s">
        <v>7326</v>
      </c>
    </row>
    <row r="7371" spans="1:2" x14ac:dyDescent="0.3">
      <c r="A7371" s="7" t="str">
        <f>HYPERLINK("http://www.eatonpowersource.com/products/configure/pumps/details/877436","877436")</f>
        <v>877436</v>
      </c>
      <c r="B7371" s="8" t="s">
        <v>7327</v>
      </c>
    </row>
    <row r="7372" spans="1:2" x14ac:dyDescent="0.3">
      <c r="A7372" s="5" t="str">
        <f>HYPERLINK("http://www.eatonpowersource.com/products/configure/pumps/details/877440","877440")</f>
        <v>877440</v>
      </c>
      <c r="B7372" s="6" t="s">
        <v>7328</v>
      </c>
    </row>
    <row r="7373" spans="1:2" x14ac:dyDescent="0.3">
      <c r="A7373" s="7" t="str">
        <f>HYPERLINK("http://www.eatonpowersource.com/products/configure/pumps/details/877445","877445")</f>
        <v>877445</v>
      </c>
      <c r="B7373" s="8" t="s">
        <v>7329</v>
      </c>
    </row>
    <row r="7374" spans="1:2" x14ac:dyDescent="0.3">
      <c r="A7374" s="5" t="str">
        <f>HYPERLINK("http://www.eatonpowersource.com/products/configure/pumps/details/877447","877447")</f>
        <v>877447</v>
      </c>
      <c r="B7374" s="6" t="s">
        <v>7330</v>
      </c>
    </row>
    <row r="7375" spans="1:2" x14ac:dyDescent="0.3">
      <c r="A7375" s="7" t="str">
        <f>HYPERLINK("http://www.eatonpowersource.com/products/configure/pumps/details/877448","877448")</f>
        <v>877448</v>
      </c>
      <c r="B7375" s="8" t="s">
        <v>7331</v>
      </c>
    </row>
    <row r="7376" spans="1:2" x14ac:dyDescent="0.3">
      <c r="A7376" s="5" t="str">
        <f>HYPERLINK("http://www.eatonpowersource.com/products/configure/pumps/details/877449","877449")</f>
        <v>877449</v>
      </c>
      <c r="B7376" s="6" t="s">
        <v>7332</v>
      </c>
    </row>
    <row r="7377" spans="1:2" x14ac:dyDescent="0.3">
      <c r="A7377" s="7" t="str">
        <f>HYPERLINK("http://www.eatonpowersource.com/products/configure/pumps/details/877450","877450")</f>
        <v>877450</v>
      </c>
      <c r="B7377" s="8" t="s">
        <v>7333</v>
      </c>
    </row>
    <row r="7378" spans="1:2" x14ac:dyDescent="0.3">
      <c r="A7378" s="5" t="str">
        <f>HYPERLINK("http://www.eatonpowersource.com/products/configure/pumps/details/877452","877452")</f>
        <v>877452</v>
      </c>
      <c r="B7378" s="6" t="s">
        <v>7334</v>
      </c>
    </row>
    <row r="7379" spans="1:2" x14ac:dyDescent="0.3">
      <c r="A7379" s="7" t="str">
        <f>HYPERLINK("http://www.eatonpowersource.com/products/configure/pumps/details/877455","877455")</f>
        <v>877455</v>
      </c>
      <c r="B7379" s="8" t="s">
        <v>7335</v>
      </c>
    </row>
    <row r="7380" spans="1:2" x14ac:dyDescent="0.3">
      <c r="A7380" s="5" t="str">
        <f>HYPERLINK("http://www.eatonpowersource.com/products/configure/pumps/details/877456","877456")</f>
        <v>877456</v>
      </c>
      <c r="B7380" s="6" t="s">
        <v>7336</v>
      </c>
    </row>
    <row r="7381" spans="1:2" x14ac:dyDescent="0.3">
      <c r="A7381" s="7" t="str">
        <f>HYPERLINK("http://www.eatonpowersource.com/products/configure/pumps/details/877459","877459")</f>
        <v>877459</v>
      </c>
      <c r="B7381" s="8" t="s">
        <v>7337</v>
      </c>
    </row>
    <row r="7382" spans="1:2" x14ac:dyDescent="0.3">
      <c r="A7382" s="5" t="str">
        <f>HYPERLINK("http://www.eatonpowersource.com/products/configure/pumps/details/877460","877460")</f>
        <v>877460</v>
      </c>
      <c r="B7382" s="6" t="s">
        <v>7338</v>
      </c>
    </row>
    <row r="7383" spans="1:2" x14ac:dyDescent="0.3">
      <c r="A7383" s="7" t="str">
        <f>HYPERLINK("http://www.eatonpowersource.com/products/configure/pumps/details/877461","877461")</f>
        <v>877461</v>
      </c>
      <c r="B7383" s="8" t="s">
        <v>7339</v>
      </c>
    </row>
    <row r="7384" spans="1:2" x14ac:dyDescent="0.3">
      <c r="A7384" s="5" t="str">
        <f>HYPERLINK("http://www.eatonpowersource.com/products/configure/pumps/details/877465","877465")</f>
        <v>877465</v>
      </c>
      <c r="B7384" s="6" t="s">
        <v>7340</v>
      </c>
    </row>
    <row r="7385" spans="1:2" x14ac:dyDescent="0.3">
      <c r="A7385" s="7" t="str">
        <f>HYPERLINK("http://www.eatonpowersource.com/products/configure/pumps/details/877466","877466")</f>
        <v>877466</v>
      </c>
      <c r="B7385" s="8" t="s">
        <v>7341</v>
      </c>
    </row>
    <row r="7386" spans="1:2" x14ac:dyDescent="0.3">
      <c r="A7386" s="5" t="str">
        <f>HYPERLINK("http://www.eatonpowersource.com/products/configure/pumps/details/877469","877469")</f>
        <v>877469</v>
      </c>
      <c r="B7386" s="6" t="s">
        <v>7342</v>
      </c>
    </row>
    <row r="7387" spans="1:2" x14ac:dyDescent="0.3">
      <c r="A7387" s="7" t="str">
        <f>HYPERLINK("http://www.eatonpowersource.com/products/configure/pumps/details/877472","877472")</f>
        <v>877472</v>
      </c>
      <c r="B7387" s="8" t="s">
        <v>7343</v>
      </c>
    </row>
    <row r="7388" spans="1:2" x14ac:dyDescent="0.3">
      <c r="A7388" s="5" t="str">
        <f>HYPERLINK("http://www.eatonpowersource.com/products/configure/pumps/details/02-334321","02-334321")</f>
        <v>02-334321</v>
      </c>
      <c r="B7388" s="6" t="s">
        <v>7344</v>
      </c>
    </row>
    <row r="7389" spans="1:2" x14ac:dyDescent="0.3">
      <c r="A7389" s="7" t="str">
        <f>HYPERLINK("http://www.eatonpowersource.com/products/configure/pumps/details/02-334499","02-334499")</f>
        <v>02-334499</v>
      </c>
      <c r="B7389" s="8" t="s">
        <v>7345</v>
      </c>
    </row>
    <row r="7390" spans="1:2" x14ac:dyDescent="0.3">
      <c r="A7390" s="5" t="str">
        <f>HYPERLINK("http://www.eatonpowersource.com/products/configure/pumps/details/02-334500","02-334500")</f>
        <v>02-334500</v>
      </c>
      <c r="B7390" s="6" t="s">
        <v>7346</v>
      </c>
    </row>
    <row r="7391" spans="1:2" x14ac:dyDescent="0.3">
      <c r="A7391" s="7" t="str">
        <f>HYPERLINK("http://www.eatonpowersource.com/products/configure/pumps/details/02-335172","02-335172")</f>
        <v>02-335172</v>
      </c>
      <c r="B7391" s="8" t="s">
        <v>7347</v>
      </c>
    </row>
    <row r="7392" spans="1:2" x14ac:dyDescent="0.3">
      <c r="A7392" s="5" t="str">
        <f>HYPERLINK("http://www.eatonpowersource.com/products/configure/pumps/details/02-335174","02-335174")</f>
        <v>02-335174</v>
      </c>
      <c r="B7392" s="6" t="s">
        <v>7348</v>
      </c>
    </row>
    <row r="7393" spans="1:2" x14ac:dyDescent="0.3">
      <c r="A7393" s="7" t="str">
        <f>HYPERLINK("http://www.eatonpowersource.com/products/configure/pumps/details/02-335221","02-335221")</f>
        <v>02-335221</v>
      </c>
      <c r="B7393" s="8" t="s">
        <v>7349</v>
      </c>
    </row>
    <row r="7394" spans="1:2" x14ac:dyDescent="0.3">
      <c r="A7394" s="5" t="str">
        <f>HYPERLINK("http://www.eatonpowersource.com/products/configure/pumps/details/02-335276","02-335276")</f>
        <v>02-335276</v>
      </c>
      <c r="B7394" s="6" t="s">
        <v>7350</v>
      </c>
    </row>
    <row r="7395" spans="1:2" x14ac:dyDescent="0.3">
      <c r="A7395" s="7" t="str">
        <f>HYPERLINK("http://www.eatonpowersource.com/products/configure/pumps/details/02-335496","02-335496")</f>
        <v>02-335496</v>
      </c>
      <c r="B7395" s="8" t="s">
        <v>7351</v>
      </c>
    </row>
    <row r="7396" spans="1:2" x14ac:dyDescent="0.3">
      <c r="A7396" s="5" t="str">
        <f>HYPERLINK("http://www.eatonpowersource.com/products/configure/pumps/details/02-335584","02-335584")</f>
        <v>02-335584</v>
      </c>
      <c r="B7396" s="6" t="s">
        <v>7352</v>
      </c>
    </row>
    <row r="7397" spans="1:2" x14ac:dyDescent="0.3">
      <c r="A7397" s="7" t="str">
        <f>HYPERLINK("http://www.eatonpowersource.com/products/configure/pumps/details/02-345222","02-345222")</f>
        <v>02-345222</v>
      </c>
      <c r="B7397" s="8" t="s">
        <v>7353</v>
      </c>
    </row>
    <row r="7398" spans="1:2" x14ac:dyDescent="0.3">
      <c r="A7398" s="5" t="str">
        <f>HYPERLINK("http://www.eatonpowersource.com/products/configure/pumps/details/02-345283","02-345283")</f>
        <v>02-345283</v>
      </c>
      <c r="B7398" s="6" t="s">
        <v>7354</v>
      </c>
    </row>
    <row r="7399" spans="1:2" x14ac:dyDescent="0.3">
      <c r="A7399" s="7" t="str">
        <f>HYPERLINK("http://www.eatonpowersource.com/products/configure/pumps/details/02-345297","02-345297")</f>
        <v>02-345297</v>
      </c>
      <c r="B7399" s="8" t="s">
        <v>7355</v>
      </c>
    </row>
    <row r="7400" spans="1:2" x14ac:dyDescent="0.3">
      <c r="A7400" s="5" t="str">
        <f>HYPERLINK("http://www.eatonpowersource.com/products/configure/pumps/details/02-347735","02-347735")</f>
        <v>02-347735</v>
      </c>
      <c r="B7400" s="6" t="s">
        <v>7356</v>
      </c>
    </row>
    <row r="7401" spans="1:2" x14ac:dyDescent="0.3">
      <c r="A7401" s="7" t="str">
        <f>HYPERLINK("http://www.eatonpowersource.com/products/configure/pumps/details/02-347736","02-347736")</f>
        <v>02-347736</v>
      </c>
      <c r="B7401" s="8" t="s">
        <v>7357</v>
      </c>
    </row>
    <row r="7402" spans="1:2" x14ac:dyDescent="0.3">
      <c r="A7402" s="5" t="str">
        <f>HYPERLINK("http://www.eatonpowersource.com/products/configure/pumps/details/02-347739","02-347739")</f>
        <v>02-347739</v>
      </c>
      <c r="B7402" s="6" t="s">
        <v>7358</v>
      </c>
    </row>
    <row r="7403" spans="1:2" x14ac:dyDescent="0.3">
      <c r="A7403" s="7" t="str">
        <f>HYPERLINK("http://www.eatonpowersource.com/products/configure/pumps/details/02-347752","02-347752")</f>
        <v>02-347752</v>
      </c>
      <c r="B7403" s="8" t="s">
        <v>7359</v>
      </c>
    </row>
    <row r="7404" spans="1:2" x14ac:dyDescent="0.3">
      <c r="A7404" s="5" t="str">
        <f>HYPERLINK("http://www.eatonpowersource.com/products/configure/pumps/details/02-347886","02-347886")</f>
        <v>02-347886</v>
      </c>
      <c r="B7404" s="6" t="s">
        <v>7360</v>
      </c>
    </row>
    <row r="7405" spans="1:2" x14ac:dyDescent="0.3">
      <c r="A7405" s="7" t="str">
        <f>HYPERLINK("http://www.eatonpowersource.com/products/configure/pumps/details/02-347974","02-347974")</f>
        <v>02-347974</v>
      </c>
      <c r="B7405" s="8" t="s">
        <v>7361</v>
      </c>
    </row>
    <row r="7406" spans="1:2" x14ac:dyDescent="0.3">
      <c r="A7406" s="5" t="str">
        <f>HYPERLINK("http://www.eatonpowersource.com/products/configure/pumps/details/02-348486","02-348486")</f>
        <v>02-348486</v>
      </c>
      <c r="B7406" s="6" t="s">
        <v>7362</v>
      </c>
    </row>
    <row r="7407" spans="1:2" x14ac:dyDescent="0.3">
      <c r="A7407" s="7" t="str">
        <f>HYPERLINK("http://www.eatonpowersource.com/products/configure/pumps/details/02-466486","02-466486")</f>
        <v>02-466486</v>
      </c>
      <c r="B7407" s="8" t="s">
        <v>7363</v>
      </c>
    </row>
    <row r="7408" spans="1:2" x14ac:dyDescent="0.3">
      <c r="A7408" s="5" t="str">
        <f>HYPERLINK("http://www.eatonpowersource.com/products/configure/pumps/details/123al00009a","123AL00009A")</f>
        <v>123AL00009A</v>
      </c>
      <c r="B7408" s="6" t="s">
        <v>7364</v>
      </c>
    </row>
    <row r="7409" spans="1:2" x14ac:dyDescent="0.3">
      <c r="A7409" s="7" t="str">
        <f>HYPERLINK("http://www.eatonpowersource.com/products/configure/pumps/details/123al00011a","123AL00011A")</f>
        <v>123AL00011A</v>
      </c>
      <c r="B7409" s="8" t="s">
        <v>7365</v>
      </c>
    </row>
    <row r="7410" spans="1:2" x14ac:dyDescent="0.3">
      <c r="A7410" s="5" t="str">
        <f>HYPERLINK("http://www.eatonpowersource.com/products/configure/pumps/details/123al00022a","123AL00022A")</f>
        <v>123AL00022A</v>
      </c>
      <c r="B7410" s="6" t="s">
        <v>7366</v>
      </c>
    </row>
    <row r="7411" spans="1:2" x14ac:dyDescent="0.3">
      <c r="A7411" s="7" t="str">
        <f>HYPERLINK("http://www.eatonpowersource.com/products/configure/pumps/details/123al00030a","123AL00030A")</f>
        <v>123AL00030A</v>
      </c>
      <c r="B7411" s="8" t="s">
        <v>7367</v>
      </c>
    </row>
    <row r="7412" spans="1:2" x14ac:dyDescent="0.3">
      <c r="A7412" s="5" t="str">
        <f>HYPERLINK("http://www.eatonpowersource.com/products/configure/pumps/details/123al00033a","123AL00033A")</f>
        <v>123AL00033A</v>
      </c>
      <c r="B7412" s="6" t="s">
        <v>7368</v>
      </c>
    </row>
    <row r="7413" spans="1:2" x14ac:dyDescent="0.3">
      <c r="A7413" s="7" t="str">
        <f>HYPERLINK("http://www.eatonpowersource.com/products/configure/pumps/details/123al00062a","123AL00062A")</f>
        <v>123AL00062A</v>
      </c>
      <c r="B7413" s="8" t="s">
        <v>7369</v>
      </c>
    </row>
    <row r="7414" spans="1:2" x14ac:dyDescent="0.3">
      <c r="A7414" s="5" t="str">
        <f>HYPERLINK("http://www.eatonpowersource.com/products/configure/pumps/details/123al00076a","123AL00076A")</f>
        <v>123AL00076A</v>
      </c>
      <c r="B7414" s="6" t="s">
        <v>7370</v>
      </c>
    </row>
    <row r="7415" spans="1:2" x14ac:dyDescent="0.3">
      <c r="A7415" s="7" t="str">
        <f>HYPERLINK("http://www.eatonpowersource.com/products/configure/pumps/details/123al00093a","123AL00093A")</f>
        <v>123AL00093A</v>
      </c>
      <c r="B7415" s="8" t="s">
        <v>7371</v>
      </c>
    </row>
    <row r="7416" spans="1:2" x14ac:dyDescent="0.3">
      <c r="A7416" s="5" t="str">
        <f>HYPERLINK("http://www.eatonpowersource.com/products/configure/pumps/details/123al00095a","123AL00095A")</f>
        <v>123AL00095A</v>
      </c>
      <c r="B7416" s="6" t="s">
        <v>7372</v>
      </c>
    </row>
    <row r="7417" spans="1:2" x14ac:dyDescent="0.3">
      <c r="A7417" s="7" t="str">
        <f>HYPERLINK("http://www.eatonpowersource.com/products/configure/pumps/details/123al00129a","123AL00129A")</f>
        <v>123AL00129A</v>
      </c>
      <c r="B7417" s="8" t="s">
        <v>7373</v>
      </c>
    </row>
    <row r="7418" spans="1:2" x14ac:dyDescent="0.3">
      <c r="A7418" s="5" t="str">
        <f>HYPERLINK("http://www.eatonpowersource.com/products/configure/pumps/details/123al00130a","123AL00130A")</f>
        <v>123AL00130A</v>
      </c>
      <c r="B7418" s="6" t="s">
        <v>7374</v>
      </c>
    </row>
    <row r="7419" spans="1:2" x14ac:dyDescent="0.3">
      <c r="A7419" s="7" t="str">
        <f>HYPERLINK("http://www.eatonpowersource.com/products/configure/pumps/details/123al00133a","123AL00133A")</f>
        <v>123AL00133A</v>
      </c>
      <c r="B7419" s="8" t="s">
        <v>7375</v>
      </c>
    </row>
    <row r="7420" spans="1:2" x14ac:dyDescent="0.3">
      <c r="A7420" s="5" t="str">
        <f>HYPERLINK("http://www.eatonpowersource.com/products/configure/pumps/details/123al00153a","123AL00153A")</f>
        <v>123AL00153A</v>
      </c>
      <c r="B7420" s="6" t="s">
        <v>7376</v>
      </c>
    </row>
    <row r="7421" spans="1:2" x14ac:dyDescent="0.3">
      <c r="A7421" s="7" t="str">
        <f>HYPERLINK("http://www.eatonpowersource.com/products/configure/pumps/details/123al00162a","123AL00162A")</f>
        <v>123AL00162A</v>
      </c>
      <c r="B7421" s="8" t="s">
        <v>7377</v>
      </c>
    </row>
    <row r="7422" spans="1:2" x14ac:dyDescent="0.3">
      <c r="A7422" s="5" t="str">
        <f>HYPERLINK("http://www.eatonpowersource.com/products/configure/pumps/details/123al00165a","123AL00165A")</f>
        <v>123AL00165A</v>
      </c>
      <c r="B7422" s="6" t="s">
        <v>7378</v>
      </c>
    </row>
    <row r="7423" spans="1:2" x14ac:dyDescent="0.3">
      <c r="A7423" s="7" t="str">
        <f>HYPERLINK("http://www.eatonpowersource.com/products/configure/pumps/details/123al00167a","123AL00167A")</f>
        <v>123AL00167A</v>
      </c>
      <c r="B7423" s="8" t="s">
        <v>7379</v>
      </c>
    </row>
    <row r="7424" spans="1:2" x14ac:dyDescent="0.3">
      <c r="A7424" s="5" t="str">
        <f>HYPERLINK("http://www.eatonpowersource.com/products/configure/pumps/details/123al00174a","123AL00174A")</f>
        <v>123AL00174A</v>
      </c>
      <c r="B7424" s="6" t="s">
        <v>7380</v>
      </c>
    </row>
    <row r="7425" spans="1:2" x14ac:dyDescent="0.3">
      <c r="A7425" s="7" t="str">
        <f>HYPERLINK("http://www.eatonpowersource.com/products/configure/pumps/details/123al00181a","123AL00181A")</f>
        <v>123AL00181A</v>
      </c>
      <c r="B7425" s="8" t="s">
        <v>7381</v>
      </c>
    </row>
    <row r="7426" spans="1:2" x14ac:dyDescent="0.3">
      <c r="A7426" s="5" t="str">
        <f>HYPERLINK("http://www.eatonpowersource.com/products/configure/pumps/details/123al00254a","123AL00254A")</f>
        <v>123AL00254A</v>
      </c>
      <c r="B7426" s="6" t="s">
        <v>7382</v>
      </c>
    </row>
    <row r="7427" spans="1:2" x14ac:dyDescent="0.3">
      <c r="A7427" s="7" t="str">
        <f>HYPERLINK("http://www.eatonpowersource.com/products/configure/pumps/details/123al00255a","123AL00255A")</f>
        <v>123AL00255A</v>
      </c>
      <c r="B7427" s="8" t="s">
        <v>7383</v>
      </c>
    </row>
    <row r="7428" spans="1:2" x14ac:dyDescent="0.3">
      <c r="A7428" s="5" t="str">
        <f>HYPERLINK("http://www.eatonpowersource.com/products/configure/pumps/details/123al00289a","123AL00289A")</f>
        <v>123AL00289A</v>
      </c>
      <c r="B7428" s="6" t="s">
        <v>7384</v>
      </c>
    </row>
    <row r="7429" spans="1:2" x14ac:dyDescent="0.3">
      <c r="A7429" s="7" t="str">
        <f>HYPERLINK("http://www.eatonpowersource.com/products/configure/pumps/details/123al00301a","123AL00301A")</f>
        <v>123AL00301A</v>
      </c>
      <c r="B7429" s="8" t="s">
        <v>7385</v>
      </c>
    </row>
    <row r="7430" spans="1:2" x14ac:dyDescent="0.3">
      <c r="A7430" s="5" t="str">
        <f>HYPERLINK("http://www.eatonpowersource.com/products/configure/pumps/details/123al00307a","123AL00307A")</f>
        <v>123AL00307A</v>
      </c>
      <c r="B7430" s="6" t="s">
        <v>7386</v>
      </c>
    </row>
    <row r="7431" spans="1:2" x14ac:dyDescent="0.3">
      <c r="A7431" s="7" t="str">
        <f>HYPERLINK("http://www.eatonpowersource.com/products/configure/pumps/details/123al00312a","123AL00312A")</f>
        <v>123AL00312A</v>
      </c>
      <c r="B7431" s="8" t="s">
        <v>7387</v>
      </c>
    </row>
    <row r="7432" spans="1:2" x14ac:dyDescent="0.3">
      <c r="A7432" s="5" t="str">
        <f>HYPERLINK("http://www.eatonpowersource.com/products/configure/pumps/details/123al00318a","123AL00318A")</f>
        <v>123AL00318A</v>
      </c>
      <c r="B7432" s="6" t="s">
        <v>7388</v>
      </c>
    </row>
    <row r="7433" spans="1:2" x14ac:dyDescent="0.3">
      <c r="A7433" s="7" t="str">
        <f>HYPERLINK("http://www.eatonpowersource.com/products/configure/pumps/details/123al00324a","123AL00324A")</f>
        <v>123AL00324A</v>
      </c>
      <c r="B7433" s="8" t="s">
        <v>7389</v>
      </c>
    </row>
    <row r="7434" spans="1:2" x14ac:dyDescent="0.3">
      <c r="A7434" s="5" t="str">
        <f>HYPERLINK("http://www.eatonpowersource.com/products/configure/pumps/details/123al00327a","123AL00327A")</f>
        <v>123AL00327A</v>
      </c>
      <c r="B7434" s="6" t="s">
        <v>7390</v>
      </c>
    </row>
    <row r="7435" spans="1:2" x14ac:dyDescent="0.3">
      <c r="A7435" s="7" t="str">
        <f>HYPERLINK("http://www.eatonpowersource.com/products/configure/pumps/details/123al00328a","123AL00328A")</f>
        <v>123AL00328A</v>
      </c>
      <c r="B7435" s="8" t="s">
        <v>7391</v>
      </c>
    </row>
    <row r="7436" spans="1:2" x14ac:dyDescent="0.3">
      <c r="A7436" s="5" t="str">
        <f>HYPERLINK("http://www.eatonpowersource.com/products/configure/pumps/details/123al00333a","123AL00333A")</f>
        <v>123AL00333A</v>
      </c>
      <c r="B7436" s="6" t="s">
        <v>7392</v>
      </c>
    </row>
    <row r="7437" spans="1:2" x14ac:dyDescent="0.3">
      <c r="A7437" s="7" t="str">
        <f>HYPERLINK("http://www.eatonpowersource.com/products/configure/pumps/details/123al00341a","123AL00341A")</f>
        <v>123AL00341A</v>
      </c>
      <c r="B7437" s="8" t="s">
        <v>7393</v>
      </c>
    </row>
    <row r="7438" spans="1:2" x14ac:dyDescent="0.3">
      <c r="A7438" s="5" t="str">
        <f>HYPERLINK("http://www.eatonpowersource.com/products/configure/pumps/details/123al00348a","123AL00348A")</f>
        <v>123AL00348A</v>
      </c>
      <c r="B7438" s="6" t="s">
        <v>7394</v>
      </c>
    </row>
    <row r="7439" spans="1:2" x14ac:dyDescent="0.3">
      <c r="A7439" s="7" t="str">
        <f>HYPERLINK("http://www.eatonpowersource.com/products/configure/pumps/details/123al00356a","123AL00356A")</f>
        <v>123AL00356A</v>
      </c>
      <c r="B7439" s="8" t="s">
        <v>7395</v>
      </c>
    </row>
    <row r="7440" spans="1:2" x14ac:dyDescent="0.3">
      <c r="A7440" s="5" t="str">
        <f>HYPERLINK("http://www.eatonpowersource.com/products/configure/pumps/details/123al00358a","123AL00358A")</f>
        <v>123AL00358A</v>
      </c>
      <c r="B7440" s="6" t="s">
        <v>7396</v>
      </c>
    </row>
    <row r="7441" spans="1:2" x14ac:dyDescent="0.3">
      <c r="A7441" s="7" t="str">
        <f>HYPERLINK("http://www.eatonpowersource.com/products/configure/pumps/details/123al00359a","123AL00359A")</f>
        <v>123AL00359A</v>
      </c>
      <c r="B7441" s="8" t="s">
        <v>7397</v>
      </c>
    </row>
    <row r="7442" spans="1:2" x14ac:dyDescent="0.3">
      <c r="A7442" s="5" t="str">
        <f>HYPERLINK("http://www.eatonpowersource.com/products/configure/pumps/details/123al00360a","123AL00360A")</f>
        <v>123AL00360A</v>
      </c>
      <c r="B7442" s="6" t="s">
        <v>7398</v>
      </c>
    </row>
    <row r="7443" spans="1:2" x14ac:dyDescent="0.3">
      <c r="A7443" s="7" t="str">
        <f>HYPERLINK("http://www.eatonpowersource.com/products/configure/pumps/details/123al00370a","123AL00370A")</f>
        <v>123AL00370A</v>
      </c>
      <c r="B7443" s="8" t="s">
        <v>7399</v>
      </c>
    </row>
    <row r="7444" spans="1:2" x14ac:dyDescent="0.3">
      <c r="A7444" s="5" t="str">
        <f>HYPERLINK("http://www.eatonpowersource.com/products/configure/pumps/details/123al00389a","123AL00389A")</f>
        <v>123AL00389A</v>
      </c>
      <c r="B7444" s="6" t="s">
        <v>7400</v>
      </c>
    </row>
    <row r="7445" spans="1:2" x14ac:dyDescent="0.3">
      <c r="A7445" s="7" t="str">
        <f>HYPERLINK("http://www.eatonpowersource.com/products/configure/pumps/details/123al00393a","123AL00393A")</f>
        <v>123AL00393A</v>
      </c>
      <c r="B7445" s="8" t="s">
        <v>7401</v>
      </c>
    </row>
    <row r="7446" spans="1:2" x14ac:dyDescent="0.3">
      <c r="A7446" s="5" t="str">
        <f>HYPERLINK("http://www.eatonpowersource.com/products/configure/pumps/details/123al00396a","123AL00396A")</f>
        <v>123AL00396A</v>
      </c>
      <c r="B7446" s="6" t="s">
        <v>7402</v>
      </c>
    </row>
    <row r="7447" spans="1:2" x14ac:dyDescent="0.3">
      <c r="A7447" s="7" t="str">
        <f>HYPERLINK("http://www.eatonpowersource.com/products/configure/pumps/details/123al00400a","123AL00400A")</f>
        <v>123AL00400A</v>
      </c>
      <c r="B7447" s="8" t="s">
        <v>7403</v>
      </c>
    </row>
    <row r="7448" spans="1:2" x14ac:dyDescent="0.3">
      <c r="A7448" s="5" t="str">
        <f>HYPERLINK("http://www.eatonpowersource.com/products/configure/pumps/details/123al00406a","123AL00406A")</f>
        <v>123AL00406A</v>
      </c>
      <c r="B7448" s="6" t="s">
        <v>7404</v>
      </c>
    </row>
    <row r="7449" spans="1:2" x14ac:dyDescent="0.3">
      <c r="A7449" s="7" t="str">
        <f>HYPERLINK("http://www.eatonpowersource.com/products/configure/pumps/details/123al00408a","123AL00408A")</f>
        <v>123AL00408A</v>
      </c>
      <c r="B7449" s="8" t="s">
        <v>7405</v>
      </c>
    </row>
    <row r="7450" spans="1:2" x14ac:dyDescent="0.3">
      <c r="A7450" s="5" t="str">
        <f>HYPERLINK("http://www.eatonpowersource.com/products/configure/pumps/details/123al00439a","123AL00439A")</f>
        <v>123AL00439A</v>
      </c>
      <c r="B7450" s="6" t="s">
        <v>7406</v>
      </c>
    </row>
    <row r="7451" spans="1:2" x14ac:dyDescent="0.3">
      <c r="A7451" s="7" t="str">
        <f>HYPERLINK("http://www.eatonpowersource.com/products/configure/pumps/details/123al00444a","123AL00444A")</f>
        <v>123AL00444A</v>
      </c>
      <c r="B7451" s="8" t="s">
        <v>7407</v>
      </c>
    </row>
    <row r="7452" spans="1:2" x14ac:dyDescent="0.3">
      <c r="A7452" s="5" t="str">
        <f>HYPERLINK("http://www.eatonpowersource.com/products/configure/pumps/details/123al00466a","123AL00466A")</f>
        <v>123AL00466A</v>
      </c>
      <c r="B7452" s="6" t="s">
        <v>7408</v>
      </c>
    </row>
    <row r="7453" spans="1:2" x14ac:dyDescent="0.3">
      <c r="A7453" s="7" t="str">
        <f>HYPERLINK("http://www.eatonpowersource.com/products/configure/pumps/details/123al00522a","123AL00522A")</f>
        <v>123AL00522A</v>
      </c>
      <c r="B7453" s="8" t="s">
        <v>7409</v>
      </c>
    </row>
    <row r="7454" spans="1:2" x14ac:dyDescent="0.3">
      <c r="A7454" s="5" t="str">
        <f>HYPERLINK("http://www.eatonpowersource.com/products/configure/pumps/details/123al00538a","123AL00538A")</f>
        <v>123AL00538A</v>
      </c>
      <c r="B7454" s="6" t="s">
        <v>7410</v>
      </c>
    </row>
    <row r="7455" spans="1:2" x14ac:dyDescent="0.3">
      <c r="A7455" s="7" t="str">
        <f>HYPERLINK("http://www.eatonpowersource.com/products/configure/pumps/details/123al00549a","123AL00549A")</f>
        <v>123AL00549A</v>
      </c>
      <c r="B7455" s="8" t="s">
        <v>7411</v>
      </c>
    </row>
    <row r="7456" spans="1:2" x14ac:dyDescent="0.3">
      <c r="A7456" s="5" t="str">
        <f>HYPERLINK("http://www.eatonpowersource.com/products/configure/pumps/details/123al00561a","123AL00561A")</f>
        <v>123AL00561A</v>
      </c>
      <c r="B7456" s="6" t="s">
        <v>7412</v>
      </c>
    </row>
    <row r="7457" spans="1:2" x14ac:dyDescent="0.3">
      <c r="A7457" s="7" t="str">
        <f>HYPERLINK("http://www.eatonpowersource.com/products/configure/pumps/details/123al00609a","123AL00609A")</f>
        <v>123AL00609A</v>
      </c>
      <c r="B7457" s="8" t="s">
        <v>7413</v>
      </c>
    </row>
    <row r="7458" spans="1:2" x14ac:dyDescent="0.3">
      <c r="A7458" s="5" t="str">
        <f>HYPERLINK("http://www.eatonpowersource.com/products/configure/pumps/details/123al00614a","123AL00614A")</f>
        <v>123AL00614A</v>
      </c>
      <c r="B7458" s="6" t="s">
        <v>7414</v>
      </c>
    </row>
    <row r="7459" spans="1:2" x14ac:dyDescent="0.3">
      <c r="A7459" s="7" t="str">
        <f>HYPERLINK("http://www.eatonpowersource.com/products/configure/pumps/details/123al00640a","123AL00640A")</f>
        <v>123AL00640A</v>
      </c>
      <c r="B7459" s="8" t="s">
        <v>7415</v>
      </c>
    </row>
    <row r="7460" spans="1:2" x14ac:dyDescent="0.3">
      <c r="A7460" s="5" t="str">
        <f>HYPERLINK("http://www.eatonpowersource.com/products/configure/pumps/details/123al00669a","123AL00669A")</f>
        <v>123AL00669A</v>
      </c>
      <c r="B7460" s="6" t="s">
        <v>7416</v>
      </c>
    </row>
    <row r="7461" spans="1:2" x14ac:dyDescent="0.3">
      <c r="A7461" s="7" t="str">
        <f>HYPERLINK("http://www.eatonpowersource.com/products/configure/pumps/details/123al00671a","123AL00671A")</f>
        <v>123AL00671A</v>
      </c>
      <c r="B7461" s="8" t="s">
        <v>7417</v>
      </c>
    </row>
    <row r="7462" spans="1:2" x14ac:dyDescent="0.3">
      <c r="A7462" s="5" t="str">
        <f>HYPERLINK("http://www.eatonpowersource.com/products/configure/pumps/details/123al00680a","123AL00680A")</f>
        <v>123AL00680A</v>
      </c>
      <c r="B7462" s="6" t="s">
        <v>7418</v>
      </c>
    </row>
    <row r="7463" spans="1:2" x14ac:dyDescent="0.3">
      <c r="A7463" s="7" t="str">
        <f>HYPERLINK("http://www.eatonpowersource.com/products/configure/pumps/details/123al00697a","123AL00697A")</f>
        <v>123AL00697A</v>
      </c>
      <c r="B7463" s="8" t="s">
        <v>7419</v>
      </c>
    </row>
    <row r="7464" spans="1:2" x14ac:dyDescent="0.3">
      <c r="A7464" s="5" t="str">
        <f>HYPERLINK("http://www.eatonpowersource.com/products/configure/pumps/details/123al00728a","123AL00728A")</f>
        <v>123AL00728A</v>
      </c>
      <c r="B7464" s="6" t="s">
        <v>7420</v>
      </c>
    </row>
    <row r="7465" spans="1:2" x14ac:dyDescent="0.3">
      <c r="A7465" s="7" t="str">
        <f>HYPERLINK("http://www.eatonpowersource.com/products/configure/pumps/details/123al00733a","123AL00733A")</f>
        <v>123AL00733A</v>
      </c>
      <c r="B7465" s="8" t="s">
        <v>7421</v>
      </c>
    </row>
    <row r="7466" spans="1:2" x14ac:dyDescent="0.3">
      <c r="A7466" s="5" t="str">
        <f>HYPERLINK("http://www.eatonpowersource.com/products/configure/pumps/details/123al00739a","123AL00739A")</f>
        <v>123AL00739A</v>
      </c>
      <c r="B7466" s="6" t="s">
        <v>7422</v>
      </c>
    </row>
    <row r="7467" spans="1:2" x14ac:dyDescent="0.3">
      <c r="A7467" s="7" t="str">
        <f>HYPERLINK("http://www.eatonpowersource.com/products/configure/pumps/details/123al00742a","123AL00742A")</f>
        <v>123AL00742A</v>
      </c>
      <c r="B7467" s="8" t="s">
        <v>7423</v>
      </c>
    </row>
    <row r="7468" spans="1:2" x14ac:dyDescent="0.3">
      <c r="A7468" s="5" t="str">
        <f>HYPERLINK("http://www.eatonpowersource.com/products/configure/pumps/details/123al00743a","123AL00743A")</f>
        <v>123AL00743A</v>
      </c>
      <c r="B7468" s="6" t="s">
        <v>7424</v>
      </c>
    </row>
    <row r="7469" spans="1:2" x14ac:dyDescent="0.3">
      <c r="A7469" s="7" t="str">
        <f>HYPERLINK("http://www.eatonpowersource.com/products/configure/pumps/details/123al00744a","123AL00744A")</f>
        <v>123AL00744A</v>
      </c>
      <c r="B7469" s="8" t="s">
        <v>7425</v>
      </c>
    </row>
    <row r="7470" spans="1:2" x14ac:dyDescent="0.3">
      <c r="A7470" s="5" t="str">
        <f>HYPERLINK("http://www.eatonpowersource.com/products/configure/pumps/details/123al00747a","123AL00747A")</f>
        <v>123AL00747A</v>
      </c>
      <c r="B7470" s="6" t="s">
        <v>7426</v>
      </c>
    </row>
    <row r="7471" spans="1:2" x14ac:dyDescent="0.3">
      <c r="A7471" s="7" t="str">
        <f>HYPERLINK("http://www.eatonpowersource.com/products/configure/pumps/details/123al00757a","123AL00757A")</f>
        <v>123AL00757A</v>
      </c>
      <c r="B7471" s="8" t="s">
        <v>7427</v>
      </c>
    </row>
    <row r="7472" spans="1:2" x14ac:dyDescent="0.3">
      <c r="A7472" s="5" t="str">
        <f>HYPERLINK("http://www.eatonpowersource.com/products/configure/pumps/details/123al00768a","123AL00768A")</f>
        <v>123AL00768A</v>
      </c>
      <c r="B7472" s="6" t="s">
        <v>7428</v>
      </c>
    </row>
    <row r="7473" spans="1:2" x14ac:dyDescent="0.3">
      <c r="A7473" s="7" t="str">
        <f>HYPERLINK("http://www.eatonpowersource.com/products/configure/pumps/details/123al00798a","123AL00798A")</f>
        <v>123AL00798A</v>
      </c>
      <c r="B7473" s="8" t="s">
        <v>7429</v>
      </c>
    </row>
    <row r="7474" spans="1:2" x14ac:dyDescent="0.3">
      <c r="A7474" s="5" t="str">
        <f>HYPERLINK("http://www.eatonpowersource.com/products/configure/pumps/details/123al00803a","123AL00803A")</f>
        <v>123AL00803A</v>
      </c>
      <c r="B7474" s="6" t="s">
        <v>7430</v>
      </c>
    </row>
    <row r="7475" spans="1:2" x14ac:dyDescent="0.3">
      <c r="A7475" s="7" t="str">
        <f>HYPERLINK("http://www.eatonpowersource.com/products/configure/pumps/details/123al00804a","123AL00804A")</f>
        <v>123AL00804A</v>
      </c>
      <c r="B7475" s="8" t="s">
        <v>7431</v>
      </c>
    </row>
    <row r="7476" spans="1:2" x14ac:dyDescent="0.3">
      <c r="A7476" s="5" t="str">
        <f>HYPERLINK("http://www.eatonpowersource.com/products/configure/pumps/details/123al00846a","123AL00846A")</f>
        <v>123AL00846A</v>
      </c>
      <c r="B7476" s="6" t="s">
        <v>7432</v>
      </c>
    </row>
    <row r="7477" spans="1:2" x14ac:dyDescent="0.3">
      <c r="A7477" s="7" t="str">
        <f>HYPERLINK("http://www.eatonpowersource.com/products/configure/pumps/details/123al00848a","123AL00848A")</f>
        <v>123AL00848A</v>
      </c>
      <c r="B7477" s="8" t="s">
        <v>7433</v>
      </c>
    </row>
    <row r="7478" spans="1:2" x14ac:dyDescent="0.3">
      <c r="A7478" s="5" t="str">
        <f>HYPERLINK("http://www.eatonpowersource.com/products/configure/pumps/details/123al00872a","123AL00872A")</f>
        <v>123AL00872A</v>
      </c>
      <c r="B7478" s="6" t="s">
        <v>7434</v>
      </c>
    </row>
    <row r="7479" spans="1:2" x14ac:dyDescent="0.3">
      <c r="A7479" s="7" t="str">
        <f>HYPERLINK("http://www.eatonpowersource.com/products/configure/pumps/details/123al00883a","123AL00883A")</f>
        <v>123AL00883A</v>
      </c>
      <c r="B7479" s="8" t="s">
        <v>7435</v>
      </c>
    </row>
    <row r="7480" spans="1:2" x14ac:dyDescent="0.3">
      <c r="A7480" s="5" t="str">
        <f>HYPERLINK("http://www.eatonpowersource.com/products/configure/pumps/details/123al00889a","123AL00889A")</f>
        <v>123AL00889A</v>
      </c>
      <c r="B7480" s="6" t="s">
        <v>7436</v>
      </c>
    </row>
    <row r="7481" spans="1:2" x14ac:dyDescent="0.3">
      <c r="A7481" s="7" t="str">
        <f>HYPERLINK("http://www.eatonpowersource.com/products/configure/pumps/details/123al00904a","123AL00904A")</f>
        <v>123AL00904A</v>
      </c>
      <c r="B7481" s="8" t="s">
        <v>7437</v>
      </c>
    </row>
    <row r="7482" spans="1:2" x14ac:dyDescent="0.3">
      <c r="A7482" s="5" t="str">
        <f>HYPERLINK("http://www.eatonpowersource.com/products/configure/pumps/details/123al00934a","123AL00934A")</f>
        <v>123AL00934A</v>
      </c>
      <c r="B7482" s="6" t="s">
        <v>7438</v>
      </c>
    </row>
    <row r="7483" spans="1:2" x14ac:dyDescent="0.3">
      <c r="A7483" s="7" t="str">
        <f>HYPERLINK("http://www.eatonpowersource.com/products/configure/pumps/details/123al00940a","123AL00940A")</f>
        <v>123AL00940A</v>
      </c>
      <c r="B7483" s="8" t="s">
        <v>7439</v>
      </c>
    </row>
    <row r="7484" spans="1:2" x14ac:dyDescent="0.3">
      <c r="A7484" s="5" t="str">
        <f>HYPERLINK("http://www.eatonpowersource.com/products/configure/pumps/details/123al00945a","123AL00945A")</f>
        <v>123AL00945A</v>
      </c>
      <c r="B7484" s="6" t="s">
        <v>7440</v>
      </c>
    </row>
    <row r="7485" spans="1:2" x14ac:dyDescent="0.3">
      <c r="A7485" s="7" t="str">
        <f>HYPERLINK("http://www.eatonpowersource.com/products/configure/pumps/details/123al00994a","123AL00994A")</f>
        <v>123AL00994A</v>
      </c>
      <c r="B7485" s="8" t="s">
        <v>7441</v>
      </c>
    </row>
    <row r="7486" spans="1:2" x14ac:dyDescent="0.3">
      <c r="A7486" s="5" t="str">
        <f>HYPERLINK("http://www.eatonpowersource.com/products/configure/pumps/details/123al01009a","123AL01009A")</f>
        <v>123AL01009A</v>
      </c>
      <c r="B7486" s="6" t="s">
        <v>7442</v>
      </c>
    </row>
    <row r="7487" spans="1:2" x14ac:dyDescent="0.3">
      <c r="A7487" s="7" t="str">
        <f>HYPERLINK("http://www.eatonpowersource.com/products/configure/pumps/details/123al01055a","123AL01055A")</f>
        <v>123AL01055A</v>
      </c>
      <c r="B7487" s="8" t="s">
        <v>7443</v>
      </c>
    </row>
    <row r="7488" spans="1:2" x14ac:dyDescent="0.3">
      <c r="A7488" s="5" t="str">
        <f>HYPERLINK("http://www.eatonpowersource.com/products/configure/pumps/details/123al01056a","123AL01056A")</f>
        <v>123AL01056A</v>
      </c>
      <c r="B7488" s="6" t="s">
        <v>7444</v>
      </c>
    </row>
    <row r="7489" spans="1:2" x14ac:dyDescent="0.3">
      <c r="A7489" s="7" t="str">
        <f>HYPERLINK("http://www.eatonpowersource.com/products/configure/pumps/details/123al01065a","123AL01065A")</f>
        <v>123AL01065A</v>
      </c>
      <c r="B7489" s="8" t="s">
        <v>7445</v>
      </c>
    </row>
    <row r="7490" spans="1:2" x14ac:dyDescent="0.3">
      <c r="A7490" s="5" t="str">
        <f>HYPERLINK("http://www.eatonpowersource.com/products/configure/pumps/details/123al01106a","123AL01106A")</f>
        <v>123AL01106A</v>
      </c>
      <c r="B7490" s="6" t="s">
        <v>7446</v>
      </c>
    </row>
    <row r="7491" spans="1:2" x14ac:dyDescent="0.3">
      <c r="A7491" s="7" t="str">
        <f>HYPERLINK("http://www.eatonpowersource.com/products/configure/pumps/details/123al01139a","123AL01139A")</f>
        <v>123AL01139A</v>
      </c>
      <c r="B7491" s="8" t="s">
        <v>7447</v>
      </c>
    </row>
    <row r="7492" spans="1:2" x14ac:dyDescent="0.3">
      <c r="A7492" s="5" t="str">
        <f>HYPERLINK("http://www.eatonpowersource.com/products/configure/pumps/details/123al01160a","123AL01160A")</f>
        <v>123AL01160A</v>
      </c>
      <c r="B7492" s="6" t="s">
        <v>7448</v>
      </c>
    </row>
    <row r="7493" spans="1:2" x14ac:dyDescent="0.3">
      <c r="A7493" s="7" t="str">
        <f>HYPERLINK("http://www.eatonpowersource.com/products/configure/pumps/details/123al01174a","123AL01174A")</f>
        <v>123AL01174A</v>
      </c>
      <c r="B7493" s="8" t="s">
        <v>7449</v>
      </c>
    </row>
    <row r="7494" spans="1:2" x14ac:dyDescent="0.3">
      <c r="A7494" s="5" t="str">
        <f>HYPERLINK("http://www.eatonpowersource.com/products/configure/pumps/details/123al01218a","123AL01218A")</f>
        <v>123AL01218A</v>
      </c>
      <c r="B7494" s="6" t="s">
        <v>7450</v>
      </c>
    </row>
    <row r="7495" spans="1:2" x14ac:dyDescent="0.3">
      <c r="A7495" s="7" t="str">
        <f>HYPERLINK("http://www.eatonpowersource.com/products/configure/pumps/details/123al01253a","123AL01253A")</f>
        <v>123AL01253A</v>
      </c>
      <c r="B7495" s="8" t="s">
        <v>7451</v>
      </c>
    </row>
    <row r="7496" spans="1:2" x14ac:dyDescent="0.3">
      <c r="A7496" s="5" t="str">
        <f>HYPERLINK("http://www.eatonpowersource.com/products/configure/pumps/details/123al01259a","123AL01259A")</f>
        <v>123AL01259A</v>
      </c>
      <c r="B7496" s="6" t="s">
        <v>7452</v>
      </c>
    </row>
    <row r="7497" spans="1:2" x14ac:dyDescent="0.3">
      <c r="A7497" s="7" t="str">
        <f>HYPERLINK("http://www.eatonpowersource.com/products/configure/pumps/details/123al01260a","123AL01260A")</f>
        <v>123AL01260A</v>
      </c>
      <c r="B7497" s="8" t="s">
        <v>7453</v>
      </c>
    </row>
    <row r="7498" spans="1:2" x14ac:dyDescent="0.3">
      <c r="A7498" s="5" t="str">
        <f>HYPERLINK("http://www.eatonpowersource.com/products/configure/pumps/details/123al01312a","123AL01312A")</f>
        <v>123AL01312A</v>
      </c>
      <c r="B7498" s="6" t="s">
        <v>7454</v>
      </c>
    </row>
    <row r="7499" spans="1:2" x14ac:dyDescent="0.3">
      <c r="A7499" s="7" t="str">
        <f>HYPERLINK("http://www.eatonpowersource.com/products/configure/pumps/details/123al01352a","123AL01352A")</f>
        <v>123AL01352A</v>
      </c>
      <c r="B7499" s="8" t="s">
        <v>7455</v>
      </c>
    </row>
    <row r="7500" spans="1:2" x14ac:dyDescent="0.3">
      <c r="A7500" s="5" t="str">
        <f>HYPERLINK("http://www.eatonpowersource.com/products/configure/pumps/details/123al01412a","123AL01412A")</f>
        <v>123AL01412A</v>
      </c>
      <c r="B7500" s="6" t="s">
        <v>7456</v>
      </c>
    </row>
    <row r="7501" spans="1:2" x14ac:dyDescent="0.3">
      <c r="A7501" s="7" t="str">
        <f>HYPERLINK("http://www.eatonpowersource.com/products/configure/pumps/details/123al01447a","123AL01447A")</f>
        <v>123AL01447A</v>
      </c>
      <c r="B7501" s="8" t="s">
        <v>7457</v>
      </c>
    </row>
    <row r="7502" spans="1:2" x14ac:dyDescent="0.3">
      <c r="A7502" s="5" t="str">
        <f>HYPERLINK("http://www.eatonpowersource.com/products/configure/pumps/details/123al01542a","123AL01542A")</f>
        <v>123AL01542A</v>
      </c>
      <c r="B7502" s="6" t="s">
        <v>7458</v>
      </c>
    </row>
    <row r="7503" spans="1:2" x14ac:dyDescent="0.3">
      <c r="A7503" s="7" t="str">
        <f>HYPERLINK("http://www.eatonpowersource.com/products/configure/pumps/details/123al01547a","123AL01547A")</f>
        <v>123AL01547A</v>
      </c>
      <c r="B7503" s="8" t="s">
        <v>7459</v>
      </c>
    </row>
    <row r="7504" spans="1:2" x14ac:dyDescent="0.3">
      <c r="A7504" s="5" t="str">
        <f>HYPERLINK("http://www.eatonpowersource.com/products/configure/pumps/details/123al01551a","123AL01551A")</f>
        <v>123AL01551A</v>
      </c>
      <c r="B7504" s="6" t="s">
        <v>7460</v>
      </c>
    </row>
    <row r="7505" spans="1:2" x14ac:dyDescent="0.3">
      <c r="A7505" s="7" t="str">
        <f>HYPERLINK("http://www.eatonpowersource.com/products/configure/pumps/details/123al01570a","123AL01570A")</f>
        <v>123AL01570A</v>
      </c>
      <c r="B7505" s="8" t="s">
        <v>7461</v>
      </c>
    </row>
    <row r="7506" spans="1:2" x14ac:dyDescent="0.3">
      <c r="A7506" s="5" t="str">
        <f>HYPERLINK("http://www.eatonpowersource.com/products/configure/pumps/details/123al01585a","123AL01585A")</f>
        <v>123AL01585A</v>
      </c>
      <c r="B7506" s="6" t="s">
        <v>7462</v>
      </c>
    </row>
    <row r="7507" spans="1:2" x14ac:dyDescent="0.3">
      <c r="A7507" s="7" t="str">
        <f>HYPERLINK("http://www.eatonpowersource.com/products/configure/pumps/details/123al01588a","123AL01588A")</f>
        <v>123AL01588A</v>
      </c>
      <c r="B7507" s="8" t="s">
        <v>7463</v>
      </c>
    </row>
    <row r="7508" spans="1:2" x14ac:dyDescent="0.3">
      <c r="A7508" s="5" t="str">
        <f>HYPERLINK("http://www.eatonpowersource.com/products/configure/pumps/details/123al01608a","123AL01608A")</f>
        <v>123AL01608A</v>
      </c>
      <c r="B7508" s="6" t="s">
        <v>7464</v>
      </c>
    </row>
    <row r="7509" spans="1:2" x14ac:dyDescent="0.3">
      <c r="A7509" s="7" t="str">
        <f>HYPERLINK("http://www.eatonpowersource.com/products/configure/pumps/details/123al01621a","123AL01621A")</f>
        <v>123AL01621A</v>
      </c>
      <c r="B7509" s="8" t="s">
        <v>7465</v>
      </c>
    </row>
    <row r="7510" spans="1:2" x14ac:dyDescent="0.3">
      <c r="A7510" s="5" t="str">
        <f>HYPERLINK("http://www.eatonpowersource.com/products/configure/pumps/details/123al01764a","123AL01764A")</f>
        <v>123AL01764A</v>
      </c>
      <c r="B7510" s="6" t="s">
        <v>7466</v>
      </c>
    </row>
    <row r="7511" spans="1:2" x14ac:dyDescent="0.3">
      <c r="A7511" s="7" t="str">
        <f>HYPERLINK("http://www.eatonpowersource.com/products/configure/pumps/details/123al01777a","123AL01777A")</f>
        <v>123AL01777A</v>
      </c>
      <c r="B7511" s="8" t="s">
        <v>7467</v>
      </c>
    </row>
    <row r="7512" spans="1:2" x14ac:dyDescent="0.3">
      <c r="A7512" s="5" t="str">
        <f>HYPERLINK("http://www.eatonpowersource.com/products/configure/pumps/details/123al01778a","123AL01778A")</f>
        <v>123AL01778A</v>
      </c>
      <c r="B7512" s="6" t="s">
        <v>7468</v>
      </c>
    </row>
    <row r="7513" spans="1:2" x14ac:dyDescent="0.3">
      <c r="A7513" s="7" t="str">
        <f>HYPERLINK("http://www.eatonpowersource.com/products/configure/pumps/details/123al01782a","123AL01782A")</f>
        <v>123AL01782A</v>
      </c>
      <c r="B7513" s="8" t="s">
        <v>7469</v>
      </c>
    </row>
    <row r="7514" spans="1:2" x14ac:dyDescent="0.3">
      <c r="A7514" s="5" t="str">
        <f>HYPERLINK("http://www.eatonpowersource.com/products/configure/pumps/details/123al01810a","123AL01810A")</f>
        <v>123AL01810A</v>
      </c>
      <c r="B7514" s="6" t="s">
        <v>7470</v>
      </c>
    </row>
    <row r="7515" spans="1:2" x14ac:dyDescent="0.3">
      <c r="A7515" s="7" t="str">
        <f>HYPERLINK("http://www.eatonpowersource.com/products/configure/pumps/details/123al01814a","123AL01814A")</f>
        <v>123AL01814A</v>
      </c>
      <c r="B7515" s="8" t="s">
        <v>7471</v>
      </c>
    </row>
    <row r="7516" spans="1:2" x14ac:dyDescent="0.3">
      <c r="A7516" s="5" t="str">
        <f>HYPERLINK("http://www.eatonpowersource.com/products/configure/pumps/details/123al01819a","123AL01819A")</f>
        <v>123AL01819A</v>
      </c>
      <c r="B7516" s="6" t="s">
        <v>7472</v>
      </c>
    </row>
    <row r="7517" spans="1:2" x14ac:dyDescent="0.3">
      <c r="A7517" s="7" t="str">
        <f>HYPERLINK("http://www.eatonpowersource.com/products/configure/pumps/details/123al01821a","123AL01821A")</f>
        <v>123AL01821A</v>
      </c>
      <c r="B7517" s="8" t="s">
        <v>7473</v>
      </c>
    </row>
    <row r="7518" spans="1:2" x14ac:dyDescent="0.3">
      <c r="A7518" s="5" t="str">
        <f>HYPERLINK("http://www.eatonpowersource.com/products/configure/pumps/details/123al01834a","123AL01834A")</f>
        <v>123AL01834A</v>
      </c>
      <c r="B7518" s="6" t="s">
        <v>7474</v>
      </c>
    </row>
    <row r="7519" spans="1:2" x14ac:dyDescent="0.3">
      <c r="A7519" s="7" t="str">
        <f>HYPERLINK("http://www.eatonpowersource.com/products/configure/pumps/details/123al01837a","123AL01837A")</f>
        <v>123AL01837A</v>
      </c>
      <c r="B7519" s="8" t="s">
        <v>7475</v>
      </c>
    </row>
    <row r="7520" spans="1:2" x14ac:dyDescent="0.3">
      <c r="A7520" s="5" t="str">
        <f>HYPERLINK("http://www.eatonpowersource.com/products/configure/pumps/details/123al01848a","123AL01848A")</f>
        <v>123AL01848A</v>
      </c>
      <c r="B7520" s="6" t="s">
        <v>7476</v>
      </c>
    </row>
    <row r="7521" spans="1:2" x14ac:dyDescent="0.3">
      <c r="A7521" s="7" t="str">
        <f>HYPERLINK("http://www.eatonpowersource.com/products/configure/pumps/details/123al01849a","123AL01849A")</f>
        <v>123AL01849A</v>
      </c>
      <c r="B7521" s="8" t="s">
        <v>7477</v>
      </c>
    </row>
    <row r="7522" spans="1:2" x14ac:dyDescent="0.3">
      <c r="A7522" s="5" t="str">
        <f>HYPERLINK("http://www.eatonpowersource.com/products/configure/pumps/details/123al01850a","123AL01850A")</f>
        <v>123AL01850A</v>
      </c>
      <c r="B7522" s="6" t="s">
        <v>7478</v>
      </c>
    </row>
    <row r="7523" spans="1:2" x14ac:dyDescent="0.3">
      <c r="A7523" s="7" t="str">
        <f>HYPERLINK("http://www.eatonpowersource.com/products/configure/pumps/details/123al01851a","123AL01851A")</f>
        <v>123AL01851A</v>
      </c>
      <c r="B7523" s="8" t="s">
        <v>7479</v>
      </c>
    </row>
    <row r="7524" spans="1:2" x14ac:dyDescent="0.3">
      <c r="A7524" s="5" t="str">
        <f>HYPERLINK("http://www.eatonpowersource.com/products/configure/pumps/details/123al01854a","123AL01854A")</f>
        <v>123AL01854A</v>
      </c>
      <c r="B7524" s="6" t="s">
        <v>7480</v>
      </c>
    </row>
    <row r="7525" spans="1:2" x14ac:dyDescent="0.3">
      <c r="A7525" s="7" t="str">
        <f>HYPERLINK("http://www.eatonpowersource.com/products/configure/pumps/details/123al01877a","123AL01877A")</f>
        <v>123AL01877A</v>
      </c>
      <c r="B7525" s="8" t="s">
        <v>7481</v>
      </c>
    </row>
    <row r="7526" spans="1:2" x14ac:dyDescent="0.3">
      <c r="A7526" s="5" t="str">
        <f>HYPERLINK("http://www.eatonpowersource.com/products/configure/pumps/details/123al01887a","123AL01887A")</f>
        <v>123AL01887A</v>
      </c>
      <c r="B7526" s="6" t="s">
        <v>7482</v>
      </c>
    </row>
    <row r="7527" spans="1:2" x14ac:dyDescent="0.3">
      <c r="A7527" s="7" t="str">
        <f>HYPERLINK("http://www.eatonpowersource.com/products/configure/pumps/details/123al01900a","123AL01900A")</f>
        <v>123AL01900A</v>
      </c>
      <c r="B7527" s="8" t="s">
        <v>7483</v>
      </c>
    </row>
    <row r="7528" spans="1:2" x14ac:dyDescent="0.3">
      <c r="A7528" s="5" t="str">
        <f>HYPERLINK("http://www.eatonpowersource.com/products/configure/pumps/details/123al01915a","123AL01915A")</f>
        <v>123AL01915A</v>
      </c>
      <c r="B7528" s="6" t="s">
        <v>7484</v>
      </c>
    </row>
    <row r="7529" spans="1:2" x14ac:dyDescent="0.3">
      <c r="A7529" s="7" t="str">
        <f>HYPERLINK("http://www.eatonpowersource.com/products/configure/pumps/details/123al01931a","123AL01931A")</f>
        <v>123AL01931A</v>
      </c>
      <c r="B7529" s="8" t="s">
        <v>7485</v>
      </c>
    </row>
    <row r="7530" spans="1:2" x14ac:dyDescent="0.3">
      <c r="A7530" s="5" t="str">
        <f>HYPERLINK("http://www.eatonpowersource.com/products/configure/pumps/details/123al01943a","123AL01943A")</f>
        <v>123AL01943A</v>
      </c>
      <c r="B7530" s="6" t="s">
        <v>7486</v>
      </c>
    </row>
    <row r="7531" spans="1:2" x14ac:dyDescent="0.3">
      <c r="A7531" s="7" t="str">
        <f>HYPERLINK("http://www.eatonpowersource.com/products/configure/pumps/details/123al01944a","123AL01944A")</f>
        <v>123AL01944A</v>
      </c>
      <c r="B7531" s="8" t="s">
        <v>7487</v>
      </c>
    </row>
    <row r="7532" spans="1:2" x14ac:dyDescent="0.3">
      <c r="A7532" s="5" t="str">
        <f>HYPERLINK("http://www.eatonpowersource.com/products/configure/pumps/details/123al01945a","123AL01945A")</f>
        <v>123AL01945A</v>
      </c>
      <c r="B7532" s="6" t="s">
        <v>7488</v>
      </c>
    </row>
    <row r="7533" spans="1:2" x14ac:dyDescent="0.3">
      <c r="A7533" s="7" t="str">
        <f>HYPERLINK("http://www.eatonpowersource.com/products/configure/pumps/details/123al01946a","123AL01946A")</f>
        <v>123AL01946A</v>
      </c>
      <c r="B7533" s="8" t="s">
        <v>7489</v>
      </c>
    </row>
    <row r="7534" spans="1:2" x14ac:dyDescent="0.3">
      <c r="A7534" s="5" t="str">
        <f>HYPERLINK("http://www.eatonpowersource.com/products/configure/pumps/details/123al01947a","123AL01947A")</f>
        <v>123AL01947A</v>
      </c>
      <c r="B7534" s="6" t="s">
        <v>7490</v>
      </c>
    </row>
    <row r="7535" spans="1:2" x14ac:dyDescent="0.3">
      <c r="A7535" s="7" t="str">
        <f>HYPERLINK("http://www.eatonpowersource.com/products/configure/pumps/details/123al01948a","123AL01948A")</f>
        <v>123AL01948A</v>
      </c>
      <c r="B7535" s="8" t="s">
        <v>7491</v>
      </c>
    </row>
    <row r="7536" spans="1:2" x14ac:dyDescent="0.3">
      <c r="A7536" s="5" t="str">
        <f>HYPERLINK("http://www.eatonpowersource.com/products/configure/pumps/details/123al01950a","123AL01950A")</f>
        <v>123AL01950A</v>
      </c>
      <c r="B7536" s="6" t="s">
        <v>7492</v>
      </c>
    </row>
    <row r="7537" spans="1:2" x14ac:dyDescent="0.3">
      <c r="A7537" s="7" t="str">
        <f>HYPERLINK("http://www.eatonpowersource.com/products/configure/pumps/details/123al01951a","123AL01951A")</f>
        <v>123AL01951A</v>
      </c>
      <c r="B7537" s="8" t="s">
        <v>7493</v>
      </c>
    </row>
    <row r="7538" spans="1:2" x14ac:dyDescent="0.3">
      <c r="A7538" s="5" t="str">
        <f>HYPERLINK("http://www.eatonpowersource.com/products/configure/pumps/details/123al01952a","123AL01952A")</f>
        <v>123AL01952A</v>
      </c>
      <c r="B7538" s="6" t="s">
        <v>7494</v>
      </c>
    </row>
    <row r="7539" spans="1:2" x14ac:dyDescent="0.3">
      <c r="A7539" s="7" t="str">
        <f>HYPERLINK("http://www.eatonpowersource.com/products/configure/pumps/details/123al01954a","123AL01954A")</f>
        <v>123AL01954A</v>
      </c>
      <c r="B7539" s="8" t="s">
        <v>7495</v>
      </c>
    </row>
    <row r="7540" spans="1:2" x14ac:dyDescent="0.3">
      <c r="A7540" s="5" t="str">
        <f>HYPERLINK("http://www.eatonpowersource.com/products/configure/pumps/details/123al01955a","123AL01955A")</f>
        <v>123AL01955A</v>
      </c>
      <c r="B7540" s="6" t="s">
        <v>7496</v>
      </c>
    </row>
    <row r="7541" spans="1:2" x14ac:dyDescent="0.3">
      <c r="A7541" s="7" t="str">
        <f>HYPERLINK("http://www.eatonpowersource.com/products/configure/pumps/details/123al01966a","123AL01966A")</f>
        <v>123AL01966A</v>
      </c>
      <c r="B7541" s="8" t="s">
        <v>7497</v>
      </c>
    </row>
    <row r="7542" spans="1:2" x14ac:dyDescent="0.3">
      <c r="A7542" s="5" t="str">
        <f>HYPERLINK("http://www.eatonpowersource.com/products/configure/pumps/details/123al01968a","123AL01968A")</f>
        <v>123AL01968A</v>
      </c>
      <c r="B7542" s="6" t="s">
        <v>7498</v>
      </c>
    </row>
    <row r="7543" spans="1:2" x14ac:dyDescent="0.3">
      <c r="A7543" s="7" t="str">
        <f>HYPERLINK("http://www.eatonpowersource.com/products/configure/pumps/details/123al01969a","123AL01969A")</f>
        <v>123AL01969A</v>
      </c>
      <c r="B7543" s="8" t="s">
        <v>7499</v>
      </c>
    </row>
    <row r="7544" spans="1:2" x14ac:dyDescent="0.3">
      <c r="A7544" s="5" t="str">
        <f>HYPERLINK("http://www.eatonpowersource.com/products/configure/pumps/details/123al01971a","123AL01971A")</f>
        <v>123AL01971A</v>
      </c>
      <c r="B7544" s="6" t="s">
        <v>7500</v>
      </c>
    </row>
    <row r="7545" spans="1:2" x14ac:dyDescent="0.3">
      <c r="A7545" s="7" t="str">
        <f>HYPERLINK("http://www.eatonpowersource.com/products/configure/pumps/details/123al01973a","123AL01973A")</f>
        <v>123AL01973A</v>
      </c>
      <c r="B7545" s="8" t="s">
        <v>7501</v>
      </c>
    </row>
    <row r="7546" spans="1:2" x14ac:dyDescent="0.3">
      <c r="A7546" s="5" t="str">
        <f>HYPERLINK("http://www.eatonpowersource.com/products/configure/pumps/details/123al01975a","123AL01975A")</f>
        <v>123AL01975A</v>
      </c>
      <c r="B7546" s="6" t="s">
        <v>7502</v>
      </c>
    </row>
    <row r="7547" spans="1:2" x14ac:dyDescent="0.3">
      <c r="A7547" s="7" t="str">
        <f>HYPERLINK("http://www.eatonpowersource.com/products/configure/pumps/details/123al01977a","123AL01977A")</f>
        <v>123AL01977A</v>
      </c>
      <c r="B7547" s="8" t="s">
        <v>7503</v>
      </c>
    </row>
    <row r="7548" spans="1:2" x14ac:dyDescent="0.3">
      <c r="A7548" s="5" t="str">
        <f>HYPERLINK("http://www.eatonpowersource.com/products/configure/pumps/details/123al01978a","123AL01978A")</f>
        <v>123AL01978A</v>
      </c>
      <c r="B7548" s="6" t="s">
        <v>7504</v>
      </c>
    </row>
    <row r="7549" spans="1:2" x14ac:dyDescent="0.3">
      <c r="A7549" s="7" t="str">
        <f>HYPERLINK("http://www.eatonpowersource.com/products/configure/pumps/details/123al01979a","123AL01979A")</f>
        <v>123AL01979A</v>
      </c>
      <c r="B7549" s="8" t="s">
        <v>7505</v>
      </c>
    </row>
    <row r="7550" spans="1:2" x14ac:dyDescent="0.3">
      <c r="A7550" s="5" t="str">
        <f>HYPERLINK("http://www.eatonpowersource.com/products/configure/pumps/details/123al01988a","123AL01988A")</f>
        <v>123AL01988A</v>
      </c>
      <c r="B7550" s="6" t="s">
        <v>7506</v>
      </c>
    </row>
    <row r="7551" spans="1:2" x14ac:dyDescent="0.3">
      <c r="A7551" s="7" t="str">
        <f>HYPERLINK("http://www.eatonpowersource.com/products/configure/pumps/details/123al02003a","123AL02003A")</f>
        <v>123AL02003A</v>
      </c>
      <c r="B7551" s="8" t="s">
        <v>7507</v>
      </c>
    </row>
    <row r="7552" spans="1:2" x14ac:dyDescent="0.3">
      <c r="A7552" s="5" t="str">
        <f>HYPERLINK("http://www.eatonpowersource.com/products/configure/pumps/details/02-341536","02-341536")</f>
        <v>02-341536</v>
      </c>
      <c r="B7552" s="6" t="s">
        <v>7508</v>
      </c>
    </row>
    <row r="7553" spans="1:2" x14ac:dyDescent="0.3">
      <c r="A7553" s="7" t="str">
        <f>HYPERLINK("http://www.eatonpowersource.com/products/configure/pumps/details/02-341539","02-341539")</f>
        <v>02-341539</v>
      </c>
      <c r="B7553" s="8" t="s">
        <v>7509</v>
      </c>
    </row>
    <row r="7554" spans="1:2" x14ac:dyDescent="0.3">
      <c r="A7554" s="5" t="str">
        <f>HYPERLINK("http://www.eatonpowersource.com/products/configure/pumps/details/02-341540","02-341540")</f>
        <v>02-341540</v>
      </c>
      <c r="B7554" s="6" t="s">
        <v>7510</v>
      </c>
    </row>
    <row r="7555" spans="1:2" x14ac:dyDescent="0.3">
      <c r="A7555" s="7" t="str">
        <f>HYPERLINK("http://www.eatonpowersource.com/products/configure/pumps/details/02-341550","02-341550")</f>
        <v>02-341550</v>
      </c>
      <c r="B7555" s="8" t="s">
        <v>7511</v>
      </c>
    </row>
    <row r="7556" spans="1:2" x14ac:dyDescent="0.3">
      <c r="A7556" s="5" t="str">
        <f>HYPERLINK("http://www.eatonpowersource.com/products/configure/pumps/details/02-341551","02-341551")</f>
        <v>02-341551</v>
      </c>
      <c r="B7556" s="6" t="s">
        <v>7512</v>
      </c>
    </row>
    <row r="7557" spans="1:2" x14ac:dyDescent="0.3">
      <c r="A7557" s="7" t="str">
        <f>HYPERLINK("http://www.eatonpowersource.com/products/configure/pumps/details/02-341552","02-341552")</f>
        <v>02-341552</v>
      </c>
      <c r="B7557" s="8" t="s">
        <v>7513</v>
      </c>
    </row>
    <row r="7558" spans="1:2" x14ac:dyDescent="0.3">
      <c r="A7558" s="5" t="str">
        <f>HYPERLINK("http://www.eatonpowersource.com/products/configure/pumps/details/02-341553","02-341553")</f>
        <v>02-341553</v>
      </c>
      <c r="B7558" s="6" t="s">
        <v>7514</v>
      </c>
    </row>
    <row r="7559" spans="1:2" x14ac:dyDescent="0.3">
      <c r="A7559" s="7" t="str">
        <f>HYPERLINK("http://www.eatonpowersource.com/products/configure/pumps/details/02-341554","02-341554")</f>
        <v>02-341554</v>
      </c>
      <c r="B7559" s="8" t="s">
        <v>7515</v>
      </c>
    </row>
    <row r="7560" spans="1:2" x14ac:dyDescent="0.3">
      <c r="A7560" s="5" t="str">
        <f>HYPERLINK("http://www.eatonpowersource.com/products/configure/pumps/details/02-341555","02-341555")</f>
        <v>02-341555</v>
      </c>
      <c r="B7560" s="6" t="s">
        <v>7516</v>
      </c>
    </row>
    <row r="7561" spans="1:2" x14ac:dyDescent="0.3">
      <c r="A7561" s="7" t="str">
        <f>HYPERLINK("http://www.eatonpowersource.com/products/configure/pumps/details/02-341556","02-341556")</f>
        <v>02-341556</v>
      </c>
      <c r="B7561" s="8" t="s">
        <v>7517</v>
      </c>
    </row>
    <row r="7562" spans="1:2" x14ac:dyDescent="0.3">
      <c r="A7562" s="5" t="str">
        <f>HYPERLINK("http://www.eatonpowersource.com/products/configure/pumps/details/02-341558","02-341558")</f>
        <v>02-341558</v>
      </c>
      <c r="B7562" s="6" t="s">
        <v>7518</v>
      </c>
    </row>
    <row r="7563" spans="1:2" x14ac:dyDescent="0.3">
      <c r="A7563" s="7" t="str">
        <f>HYPERLINK("http://www.eatonpowersource.com/products/configure/pumps/details/02-341559","02-341559")</f>
        <v>02-341559</v>
      </c>
      <c r="B7563" s="8" t="s">
        <v>7519</v>
      </c>
    </row>
    <row r="7564" spans="1:2" x14ac:dyDescent="0.3">
      <c r="A7564" s="5" t="str">
        <f>HYPERLINK("http://www.eatonpowersource.com/products/configure/pumps/details/02-341560","02-341560")</f>
        <v>02-341560</v>
      </c>
      <c r="B7564" s="6" t="s">
        <v>7520</v>
      </c>
    </row>
    <row r="7565" spans="1:2" x14ac:dyDescent="0.3">
      <c r="A7565" s="7" t="str">
        <f>HYPERLINK("http://www.eatonpowersource.com/products/configure/pumps/details/02-341561","02-341561")</f>
        <v>02-341561</v>
      </c>
      <c r="B7565" s="8" t="s">
        <v>7521</v>
      </c>
    </row>
    <row r="7566" spans="1:2" x14ac:dyDescent="0.3">
      <c r="A7566" s="5" t="str">
        <f>HYPERLINK("http://www.eatonpowersource.com/products/configure/pumps/details/02-341563","02-341563")</f>
        <v>02-341563</v>
      </c>
      <c r="B7566" s="6" t="s">
        <v>7522</v>
      </c>
    </row>
    <row r="7567" spans="1:2" x14ac:dyDescent="0.3">
      <c r="A7567" s="7" t="str">
        <f>HYPERLINK("http://www.eatonpowersource.com/products/configure/pumps/details/02-341564","02-341564")</f>
        <v>02-341564</v>
      </c>
      <c r="B7567" s="8" t="s">
        <v>7523</v>
      </c>
    </row>
    <row r="7568" spans="1:2" x14ac:dyDescent="0.3">
      <c r="A7568" s="5" t="str">
        <f>HYPERLINK("http://www.eatonpowersource.com/products/configure/pumps/details/02-341568","02-341568")</f>
        <v>02-341568</v>
      </c>
      <c r="B7568" s="6" t="s">
        <v>7524</v>
      </c>
    </row>
    <row r="7569" spans="1:2" x14ac:dyDescent="0.3">
      <c r="A7569" s="7" t="str">
        <f>HYPERLINK("http://www.eatonpowersource.com/products/configure/pumps/details/02-341576","02-341576")</f>
        <v>02-341576</v>
      </c>
      <c r="B7569" s="8" t="s">
        <v>7525</v>
      </c>
    </row>
    <row r="7570" spans="1:2" x14ac:dyDescent="0.3">
      <c r="A7570" s="5" t="str">
        <f>HYPERLINK("http://www.eatonpowersource.com/products/configure/pumps/details/02-341577","02-341577")</f>
        <v>02-341577</v>
      </c>
      <c r="B7570" s="6" t="s">
        <v>7526</v>
      </c>
    </row>
    <row r="7571" spans="1:2" x14ac:dyDescent="0.3">
      <c r="A7571" s="7" t="str">
        <f>HYPERLINK("http://www.eatonpowersource.com/products/configure/pumps/details/02-341578","02-341578")</f>
        <v>02-341578</v>
      </c>
      <c r="B7571" s="8" t="s">
        <v>7527</v>
      </c>
    </row>
    <row r="7572" spans="1:2" x14ac:dyDescent="0.3">
      <c r="A7572" s="5" t="str">
        <f>HYPERLINK("http://www.eatonpowersource.com/products/configure/pumps/details/02-341579","02-341579")</f>
        <v>02-341579</v>
      </c>
      <c r="B7572" s="6" t="s">
        <v>7528</v>
      </c>
    </row>
    <row r="7573" spans="1:2" x14ac:dyDescent="0.3">
      <c r="A7573" s="7" t="str">
        <f>HYPERLINK("http://www.eatonpowersource.com/products/configure/pumps/details/02-341584","02-341584")</f>
        <v>02-341584</v>
      </c>
      <c r="B7573" s="8" t="s">
        <v>7529</v>
      </c>
    </row>
    <row r="7574" spans="1:2" x14ac:dyDescent="0.3">
      <c r="A7574" s="5" t="str">
        <f>HYPERLINK("http://www.eatonpowersource.com/products/configure/pumps/details/02-341585","02-341585")</f>
        <v>02-341585</v>
      </c>
      <c r="B7574" s="6" t="s">
        <v>7530</v>
      </c>
    </row>
    <row r="7575" spans="1:2" x14ac:dyDescent="0.3">
      <c r="A7575" s="7" t="str">
        <f>HYPERLINK("http://www.eatonpowersource.com/products/configure/pumps/details/02-341587","02-341587")</f>
        <v>02-341587</v>
      </c>
      <c r="B7575" s="8" t="s">
        <v>7531</v>
      </c>
    </row>
    <row r="7576" spans="1:2" x14ac:dyDescent="0.3">
      <c r="A7576" s="5" t="str">
        <f>HYPERLINK("http://www.eatonpowersource.com/products/configure/pumps/details/02-341589","02-341589")</f>
        <v>02-341589</v>
      </c>
      <c r="B7576" s="6" t="s">
        <v>7532</v>
      </c>
    </row>
    <row r="7577" spans="1:2" x14ac:dyDescent="0.3">
      <c r="A7577" s="7" t="str">
        <f>HYPERLINK("http://www.eatonpowersource.com/products/configure/pumps/details/02-341590","02-341590")</f>
        <v>02-341590</v>
      </c>
      <c r="B7577" s="8" t="s">
        <v>7533</v>
      </c>
    </row>
    <row r="7578" spans="1:2" x14ac:dyDescent="0.3">
      <c r="A7578" s="5" t="str">
        <f>HYPERLINK("http://www.eatonpowersource.com/products/configure/pumps/details/02-341592","02-341592")</f>
        <v>02-341592</v>
      </c>
      <c r="B7578" s="6" t="s">
        <v>7534</v>
      </c>
    </row>
    <row r="7579" spans="1:2" x14ac:dyDescent="0.3">
      <c r="A7579" s="7" t="str">
        <f>HYPERLINK("http://www.eatonpowersource.com/products/configure/pumps/details/02-341594","02-341594")</f>
        <v>02-341594</v>
      </c>
      <c r="B7579" s="8" t="s">
        <v>7535</v>
      </c>
    </row>
    <row r="7580" spans="1:2" x14ac:dyDescent="0.3">
      <c r="A7580" s="5" t="str">
        <f>HYPERLINK("http://www.eatonpowersource.com/products/configure/pumps/details/02-341596","02-341596")</f>
        <v>02-341596</v>
      </c>
      <c r="B7580" s="6" t="s">
        <v>7536</v>
      </c>
    </row>
    <row r="7581" spans="1:2" x14ac:dyDescent="0.3">
      <c r="A7581" s="7" t="str">
        <f>HYPERLINK("http://www.eatonpowersource.com/products/configure/pumps/details/02-341599","02-341599")</f>
        <v>02-341599</v>
      </c>
      <c r="B7581" s="8" t="s">
        <v>7537</v>
      </c>
    </row>
    <row r="7582" spans="1:2" x14ac:dyDescent="0.3">
      <c r="A7582" s="5" t="str">
        <f>HYPERLINK("http://www.eatonpowersource.com/products/configure/pumps/details/02-341600","02-341600")</f>
        <v>02-341600</v>
      </c>
      <c r="B7582" s="6" t="s">
        <v>7538</v>
      </c>
    </row>
    <row r="7583" spans="1:2" x14ac:dyDescent="0.3">
      <c r="A7583" s="7" t="str">
        <f>HYPERLINK("http://www.eatonpowersource.com/products/configure/pumps/details/02-341603","02-341603")</f>
        <v>02-341603</v>
      </c>
      <c r="B7583" s="8" t="s">
        <v>7539</v>
      </c>
    </row>
    <row r="7584" spans="1:2" x14ac:dyDescent="0.3">
      <c r="A7584" s="5" t="str">
        <f>HYPERLINK("http://www.eatonpowersource.com/products/configure/pumps/details/02-341604","02-341604")</f>
        <v>02-341604</v>
      </c>
      <c r="B7584" s="6" t="s">
        <v>7540</v>
      </c>
    </row>
    <row r="7585" spans="1:2" x14ac:dyDescent="0.3">
      <c r="A7585" s="7" t="str">
        <f>HYPERLINK("http://www.eatonpowersource.com/products/configure/pumps/details/02-341605","02-341605")</f>
        <v>02-341605</v>
      </c>
      <c r="B7585" s="8" t="s">
        <v>7541</v>
      </c>
    </row>
    <row r="7586" spans="1:2" x14ac:dyDescent="0.3">
      <c r="A7586" s="5" t="str">
        <f>HYPERLINK("http://www.eatonpowersource.com/products/configure/pumps/details/02-341607","02-341607")</f>
        <v>02-341607</v>
      </c>
      <c r="B7586" s="6" t="s">
        <v>7542</v>
      </c>
    </row>
    <row r="7587" spans="1:2" x14ac:dyDescent="0.3">
      <c r="A7587" s="7" t="str">
        <f>HYPERLINK("http://www.eatonpowersource.com/products/configure/pumps/details/02-341614","02-341614")</f>
        <v>02-341614</v>
      </c>
      <c r="B7587" s="8" t="s">
        <v>7543</v>
      </c>
    </row>
    <row r="7588" spans="1:2" x14ac:dyDescent="0.3">
      <c r="A7588" s="5" t="str">
        <f>HYPERLINK("http://www.eatonpowersource.com/products/configure/pumps/details/02-341615","02-341615")</f>
        <v>02-341615</v>
      </c>
      <c r="B7588" s="6" t="s">
        <v>7544</v>
      </c>
    </row>
    <row r="7589" spans="1:2" x14ac:dyDescent="0.3">
      <c r="A7589" s="7" t="str">
        <f>HYPERLINK("http://www.eatonpowersource.com/products/configure/pumps/details/02-341621","02-341621")</f>
        <v>02-341621</v>
      </c>
      <c r="B7589" s="8" t="s">
        <v>7545</v>
      </c>
    </row>
    <row r="7590" spans="1:2" x14ac:dyDescent="0.3">
      <c r="A7590" s="5" t="str">
        <f>HYPERLINK("http://www.eatonpowersource.com/products/configure/pumps/details/02-341624","02-341624")</f>
        <v>02-341624</v>
      </c>
      <c r="B7590" s="6" t="s">
        <v>7546</v>
      </c>
    </row>
    <row r="7591" spans="1:2" x14ac:dyDescent="0.3">
      <c r="A7591" s="7" t="str">
        <f>HYPERLINK("http://www.eatonpowersource.com/products/configure/pumps/details/02-341630","02-341630")</f>
        <v>02-341630</v>
      </c>
      <c r="B7591" s="8" t="s">
        <v>7547</v>
      </c>
    </row>
    <row r="7592" spans="1:2" x14ac:dyDescent="0.3">
      <c r="A7592" s="5" t="str">
        <f>HYPERLINK("http://www.eatonpowersource.com/products/configure/pumps/details/02-341634","02-341634")</f>
        <v>02-341634</v>
      </c>
      <c r="B7592" s="6" t="s">
        <v>7548</v>
      </c>
    </row>
    <row r="7593" spans="1:2" x14ac:dyDescent="0.3">
      <c r="A7593" s="7" t="str">
        <f>HYPERLINK("http://www.eatonpowersource.com/products/configure/pumps/details/02-341635","02-341635")</f>
        <v>02-341635</v>
      </c>
      <c r="B7593" s="8" t="s">
        <v>7549</v>
      </c>
    </row>
    <row r="7594" spans="1:2" x14ac:dyDescent="0.3">
      <c r="A7594" s="5" t="str">
        <f>HYPERLINK("http://www.eatonpowersource.com/products/configure/pumps/details/02-341643","02-341643")</f>
        <v>02-341643</v>
      </c>
      <c r="B7594" s="6" t="s">
        <v>7550</v>
      </c>
    </row>
    <row r="7595" spans="1:2" x14ac:dyDescent="0.3">
      <c r="A7595" s="7" t="str">
        <f>HYPERLINK("http://www.eatonpowersource.com/products/configure/pumps/details/02-341644","02-341644")</f>
        <v>02-341644</v>
      </c>
      <c r="B7595" s="8" t="s">
        <v>7551</v>
      </c>
    </row>
    <row r="7596" spans="1:2" x14ac:dyDescent="0.3">
      <c r="A7596" s="5" t="str">
        <f>HYPERLINK("http://www.eatonpowersource.com/products/configure/pumps/details/02-341646","02-341646")</f>
        <v>02-341646</v>
      </c>
      <c r="B7596" s="6" t="s">
        <v>7552</v>
      </c>
    </row>
    <row r="7597" spans="1:2" x14ac:dyDescent="0.3">
      <c r="A7597" s="7" t="str">
        <f>HYPERLINK("http://www.eatonpowersource.com/products/configure/pumps/details/02-341649","02-341649")</f>
        <v>02-341649</v>
      </c>
      <c r="B7597" s="8" t="s">
        <v>7553</v>
      </c>
    </row>
    <row r="7598" spans="1:2" x14ac:dyDescent="0.3">
      <c r="A7598" s="5" t="str">
        <f>HYPERLINK("http://www.eatonpowersource.com/products/configure/pumps/details/02-341650","02-341650")</f>
        <v>02-341650</v>
      </c>
      <c r="B7598" s="6" t="s">
        <v>7554</v>
      </c>
    </row>
    <row r="7599" spans="1:2" x14ac:dyDescent="0.3">
      <c r="A7599" s="7" t="str">
        <f>HYPERLINK("http://www.eatonpowersource.com/products/configure/pumps/details/02-341653","02-341653")</f>
        <v>02-341653</v>
      </c>
      <c r="B7599" s="8" t="s">
        <v>7555</v>
      </c>
    </row>
    <row r="7600" spans="1:2" x14ac:dyDescent="0.3">
      <c r="A7600" s="5" t="str">
        <f>HYPERLINK("http://www.eatonpowersource.com/products/configure/pumps/details/02-341654","02-341654")</f>
        <v>02-341654</v>
      </c>
      <c r="B7600" s="6" t="s">
        <v>7556</v>
      </c>
    </row>
    <row r="7601" spans="1:2" x14ac:dyDescent="0.3">
      <c r="A7601" s="7" t="str">
        <f>HYPERLINK("http://www.eatonpowersource.com/products/configure/pumps/details/02-341656","02-341656")</f>
        <v>02-341656</v>
      </c>
      <c r="B7601" s="8" t="s">
        <v>7557</v>
      </c>
    </row>
    <row r="7602" spans="1:2" x14ac:dyDescent="0.3">
      <c r="A7602" s="5" t="str">
        <f>HYPERLINK("http://www.eatonpowersource.com/products/configure/pumps/details/02-341657","02-341657")</f>
        <v>02-341657</v>
      </c>
      <c r="B7602" s="6" t="s">
        <v>7558</v>
      </c>
    </row>
    <row r="7603" spans="1:2" x14ac:dyDescent="0.3">
      <c r="A7603" s="7" t="str">
        <f>HYPERLINK("http://www.eatonpowersource.com/products/configure/pumps/details/02-341658","02-341658")</f>
        <v>02-341658</v>
      </c>
      <c r="B7603" s="8" t="s">
        <v>7559</v>
      </c>
    </row>
    <row r="7604" spans="1:2" x14ac:dyDescent="0.3">
      <c r="A7604" s="5" t="str">
        <f>HYPERLINK("http://www.eatonpowersource.com/products/configure/pumps/details/02-341659","02-341659")</f>
        <v>02-341659</v>
      </c>
      <c r="B7604" s="6" t="s">
        <v>7560</v>
      </c>
    </row>
    <row r="7605" spans="1:2" x14ac:dyDescent="0.3">
      <c r="A7605" s="7" t="str">
        <f>HYPERLINK("http://www.eatonpowersource.com/products/configure/pumps/details/02-341661","02-341661")</f>
        <v>02-341661</v>
      </c>
      <c r="B7605" s="8" t="s">
        <v>7561</v>
      </c>
    </row>
    <row r="7606" spans="1:2" x14ac:dyDescent="0.3">
      <c r="A7606" s="5" t="str">
        <f>HYPERLINK("http://www.eatonpowersource.com/products/configure/pumps/details/02-341662","02-341662")</f>
        <v>02-341662</v>
      </c>
      <c r="B7606" s="6" t="s">
        <v>7562</v>
      </c>
    </row>
    <row r="7607" spans="1:2" x14ac:dyDescent="0.3">
      <c r="A7607" s="7" t="str">
        <f>HYPERLINK("http://www.eatonpowersource.com/products/configure/pumps/details/02-341667","02-341667")</f>
        <v>02-341667</v>
      </c>
      <c r="B7607" s="8" t="s">
        <v>7563</v>
      </c>
    </row>
    <row r="7608" spans="1:2" x14ac:dyDescent="0.3">
      <c r="A7608" s="5" t="str">
        <f>HYPERLINK("http://www.eatonpowersource.com/products/configure/pumps/details/02-341668","02-341668")</f>
        <v>02-341668</v>
      </c>
      <c r="B7608" s="6" t="s">
        <v>7564</v>
      </c>
    </row>
    <row r="7609" spans="1:2" x14ac:dyDescent="0.3">
      <c r="A7609" s="7" t="str">
        <f>HYPERLINK("http://www.eatonpowersource.com/products/configure/pumps/details/02-341671","02-341671")</f>
        <v>02-341671</v>
      </c>
      <c r="B7609" s="8" t="s">
        <v>7565</v>
      </c>
    </row>
    <row r="7610" spans="1:2" x14ac:dyDescent="0.3">
      <c r="A7610" s="5" t="str">
        <f>HYPERLINK("http://www.eatonpowersource.com/products/configure/pumps/details/02-341672","02-341672")</f>
        <v>02-341672</v>
      </c>
      <c r="B7610" s="6" t="s">
        <v>7566</v>
      </c>
    </row>
    <row r="7611" spans="1:2" x14ac:dyDescent="0.3">
      <c r="A7611" s="7" t="str">
        <f>HYPERLINK("http://www.eatonpowersource.com/products/configure/pumps/details/02-341673","02-341673")</f>
        <v>02-341673</v>
      </c>
      <c r="B7611" s="8" t="s">
        <v>7567</v>
      </c>
    </row>
    <row r="7612" spans="1:2" x14ac:dyDescent="0.3">
      <c r="A7612" s="5" t="str">
        <f>HYPERLINK("http://www.eatonpowersource.com/products/configure/pumps/details/02-341675","02-341675")</f>
        <v>02-341675</v>
      </c>
      <c r="B7612" s="6" t="s">
        <v>7568</v>
      </c>
    </row>
    <row r="7613" spans="1:2" x14ac:dyDescent="0.3">
      <c r="A7613" s="7" t="str">
        <f>HYPERLINK("http://www.eatonpowersource.com/products/configure/pumps/details/02-341678","02-341678")</f>
        <v>02-341678</v>
      </c>
      <c r="B7613" s="8" t="s">
        <v>7569</v>
      </c>
    </row>
    <row r="7614" spans="1:2" x14ac:dyDescent="0.3">
      <c r="A7614" s="5" t="str">
        <f>HYPERLINK("http://www.eatonpowersource.com/products/configure/pumps/details/02-341680","02-341680")</f>
        <v>02-341680</v>
      </c>
      <c r="B7614" s="6" t="s">
        <v>7570</v>
      </c>
    </row>
    <row r="7615" spans="1:2" x14ac:dyDescent="0.3">
      <c r="A7615" s="7" t="str">
        <f>HYPERLINK("http://www.eatonpowersource.com/products/configure/pumps/details/02-341682","02-341682")</f>
        <v>02-341682</v>
      </c>
      <c r="B7615" s="8" t="s">
        <v>7571</v>
      </c>
    </row>
    <row r="7616" spans="1:2" x14ac:dyDescent="0.3">
      <c r="A7616" s="5" t="str">
        <f>HYPERLINK("http://www.eatonpowersource.com/products/configure/pumps/details/02-341685","02-341685")</f>
        <v>02-341685</v>
      </c>
      <c r="B7616" s="6" t="s">
        <v>7572</v>
      </c>
    </row>
    <row r="7617" spans="1:2" x14ac:dyDescent="0.3">
      <c r="A7617" s="7" t="str">
        <f>HYPERLINK("http://www.eatonpowersource.com/products/configure/pumps/details/02-341686","02-341686")</f>
        <v>02-341686</v>
      </c>
      <c r="B7617" s="8" t="s">
        <v>7573</v>
      </c>
    </row>
    <row r="7618" spans="1:2" x14ac:dyDescent="0.3">
      <c r="A7618" s="5" t="str">
        <f>HYPERLINK("http://www.eatonpowersource.com/products/configure/pumps/details/02-341687","02-341687")</f>
        <v>02-341687</v>
      </c>
      <c r="B7618" s="6" t="s">
        <v>7574</v>
      </c>
    </row>
    <row r="7619" spans="1:2" x14ac:dyDescent="0.3">
      <c r="A7619" s="7" t="str">
        <f>HYPERLINK("http://www.eatonpowersource.com/products/configure/pumps/details/02-341688","02-341688")</f>
        <v>02-341688</v>
      </c>
      <c r="B7619" s="8" t="s">
        <v>7575</v>
      </c>
    </row>
    <row r="7620" spans="1:2" x14ac:dyDescent="0.3">
      <c r="A7620" s="5" t="str">
        <f>HYPERLINK("http://www.eatonpowersource.com/products/configure/pumps/details/02-341689","02-341689")</f>
        <v>02-341689</v>
      </c>
      <c r="B7620" s="6" t="s">
        <v>7576</v>
      </c>
    </row>
    <row r="7621" spans="1:2" x14ac:dyDescent="0.3">
      <c r="A7621" s="7" t="str">
        <f>HYPERLINK("http://www.eatonpowersource.com/products/configure/pumps/details/02-341690","02-341690")</f>
        <v>02-341690</v>
      </c>
      <c r="B7621" s="8" t="s">
        <v>7577</v>
      </c>
    </row>
    <row r="7622" spans="1:2" x14ac:dyDescent="0.3">
      <c r="A7622" s="5" t="str">
        <f>HYPERLINK("http://www.eatonpowersource.com/products/configure/pumps/details/02-341695","02-341695")</f>
        <v>02-341695</v>
      </c>
      <c r="B7622" s="6" t="s">
        <v>7578</v>
      </c>
    </row>
    <row r="7623" spans="1:2" x14ac:dyDescent="0.3">
      <c r="A7623" s="7" t="str">
        <f>HYPERLINK("http://www.eatonpowersource.com/products/configure/pumps/details/02-341697","02-341697")</f>
        <v>02-341697</v>
      </c>
      <c r="B7623" s="8" t="s">
        <v>7579</v>
      </c>
    </row>
    <row r="7624" spans="1:2" x14ac:dyDescent="0.3">
      <c r="A7624" s="5" t="str">
        <f>HYPERLINK("http://www.eatonpowersource.com/products/configure/pumps/details/02-341896","02-341896")</f>
        <v>02-341896</v>
      </c>
      <c r="B7624" s="6" t="s">
        <v>7580</v>
      </c>
    </row>
    <row r="7625" spans="1:2" x14ac:dyDescent="0.3">
      <c r="A7625" s="7" t="str">
        <f>HYPERLINK("http://www.eatonpowersource.com/products/configure/pumps/details/02-341897","02-341897")</f>
        <v>02-341897</v>
      </c>
      <c r="B7625" s="8" t="s">
        <v>7581</v>
      </c>
    </row>
    <row r="7626" spans="1:2" x14ac:dyDescent="0.3">
      <c r="A7626" s="5" t="str">
        <f>HYPERLINK("http://www.eatonpowersource.com/products/configure/pumps/details/02-341899","02-341899")</f>
        <v>02-341899</v>
      </c>
      <c r="B7626" s="6" t="s">
        <v>7582</v>
      </c>
    </row>
    <row r="7627" spans="1:2" x14ac:dyDescent="0.3">
      <c r="A7627" s="7" t="str">
        <f>HYPERLINK("http://www.eatonpowersource.com/products/configure/pumps/details/02-341900","02-341900")</f>
        <v>02-341900</v>
      </c>
      <c r="B7627" s="8" t="s">
        <v>7583</v>
      </c>
    </row>
    <row r="7628" spans="1:2" x14ac:dyDescent="0.3">
      <c r="A7628" s="5" t="str">
        <f>HYPERLINK("http://www.eatonpowersource.com/products/configure/pumps/details/02-341901","02-341901")</f>
        <v>02-341901</v>
      </c>
      <c r="B7628" s="6" t="s">
        <v>7584</v>
      </c>
    </row>
    <row r="7629" spans="1:2" x14ac:dyDescent="0.3">
      <c r="A7629" s="7" t="str">
        <f>HYPERLINK("http://www.eatonpowersource.com/products/configure/pumps/details/02-341902","02-341902")</f>
        <v>02-341902</v>
      </c>
      <c r="B7629" s="8" t="s">
        <v>7585</v>
      </c>
    </row>
    <row r="7630" spans="1:2" x14ac:dyDescent="0.3">
      <c r="A7630" s="5" t="str">
        <f>HYPERLINK("http://www.eatonpowersource.com/products/configure/pumps/details/02-341914","02-341914")</f>
        <v>02-341914</v>
      </c>
      <c r="B7630" s="6" t="s">
        <v>7586</v>
      </c>
    </row>
    <row r="7631" spans="1:2" x14ac:dyDescent="0.3">
      <c r="A7631" s="7" t="str">
        <f>HYPERLINK("http://www.eatonpowersource.com/products/configure/pumps/details/02-341919","02-341919")</f>
        <v>02-341919</v>
      </c>
      <c r="B7631" s="8" t="s">
        <v>7587</v>
      </c>
    </row>
    <row r="7632" spans="1:2" x14ac:dyDescent="0.3">
      <c r="A7632" s="5" t="str">
        <f>HYPERLINK("http://www.eatonpowersource.com/products/configure/pumps/details/02-341920","02-341920")</f>
        <v>02-341920</v>
      </c>
      <c r="B7632" s="6" t="s">
        <v>7588</v>
      </c>
    </row>
    <row r="7633" spans="1:2" x14ac:dyDescent="0.3">
      <c r="A7633" s="7" t="str">
        <f>HYPERLINK("http://www.eatonpowersource.com/products/configure/pumps/details/02-341921","02-341921")</f>
        <v>02-341921</v>
      </c>
      <c r="B7633" s="8" t="s">
        <v>7589</v>
      </c>
    </row>
    <row r="7634" spans="1:2" x14ac:dyDescent="0.3">
      <c r="A7634" s="5" t="str">
        <f>HYPERLINK("http://www.eatonpowersource.com/products/configure/pumps/details/02-341923","02-341923")</f>
        <v>02-341923</v>
      </c>
      <c r="B7634" s="6" t="s">
        <v>7590</v>
      </c>
    </row>
    <row r="7635" spans="1:2" x14ac:dyDescent="0.3">
      <c r="A7635" s="7" t="str">
        <f>HYPERLINK("http://www.eatonpowersource.com/products/configure/pumps/details/02-341924","02-341924")</f>
        <v>02-341924</v>
      </c>
      <c r="B7635" s="8" t="s">
        <v>7591</v>
      </c>
    </row>
    <row r="7636" spans="1:2" x14ac:dyDescent="0.3">
      <c r="A7636" s="5" t="str">
        <f>HYPERLINK("http://www.eatonpowersource.com/products/configure/pumps/details/02-341925","02-341925")</f>
        <v>02-341925</v>
      </c>
      <c r="B7636" s="6" t="s">
        <v>7592</v>
      </c>
    </row>
    <row r="7637" spans="1:2" x14ac:dyDescent="0.3">
      <c r="A7637" s="7" t="str">
        <f>HYPERLINK("http://www.eatonpowersource.com/products/configure/pumps/details/02-341927","02-341927")</f>
        <v>02-341927</v>
      </c>
      <c r="B7637" s="8" t="s">
        <v>7593</v>
      </c>
    </row>
    <row r="7638" spans="1:2" x14ac:dyDescent="0.3">
      <c r="A7638" s="5" t="str">
        <f>HYPERLINK("http://www.eatonpowersource.com/products/configure/pumps/details/02-341928","02-341928")</f>
        <v>02-341928</v>
      </c>
      <c r="B7638" s="6" t="s">
        <v>7594</v>
      </c>
    </row>
    <row r="7639" spans="1:2" x14ac:dyDescent="0.3">
      <c r="A7639" s="7" t="str">
        <f>HYPERLINK("http://www.eatonpowersource.com/products/configure/pumps/details/02-341929","02-341929")</f>
        <v>02-341929</v>
      </c>
      <c r="B7639" s="8" t="s">
        <v>7595</v>
      </c>
    </row>
    <row r="7640" spans="1:2" x14ac:dyDescent="0.3">
      <c r="A7640" s="5" t="str">
        <f>HYPERLINK("http://www.eatonpowersource.com/products/configure/pumps/details/02-341948","02-341948")</f>
        <v>02-341948</v>
      </c>
      <c r="B7640" s="6" t="s">
        <v>7596</v>
      </c>
    </row>
    <row r="7641" spans="1:2" x14ac:dyDescent="0.3">
      <c r="A7641" s="7" t="str">
        <f>HYPERLINK("http://www.eatonpowersource.com/products/configure/pumps/details/02-341949","02-341949")</f>
        <v>02-341949</v>
      </c>
      <c r="B7641" s="8" t="s">
        <v>7597</v>
      </c>
    </row>
    <row r="7642" spans="1:2" x14ac:dyDescent="0.3">
      <c r="A7642" s="5" t="str">
        <f>HYPERLINK("http://www.eatonpowersource.com/products/configure/pumps/details/02-341950","02-341950")</f>
        <v>02-341950</v>
      </c>
      <c r="B7642" s="6" t="s">
        <v>7598</v>
      </c>
    </row>
    <row r="7643" spans="1:2" x14ac:dyDescent="0.3">
      <c r="A7643" s="7" t="str">
        <f>HYPERLINK("http://www.eatonpowersource.com/products/configure/pumps/details/02-341956","02-341956")</f>
        <v>02-341956</v>
      </c>
      <c r="B7643" s="8" t="s">
        <v>7599</v>
      </c>
    </row>
    <row r="7644" spans="1:2" x14ac:dyDescent="0.3">
      <c r="A7644" s="5" t="str">
        <f>HYPERLINK("http://www.eatonpowersource.com/products/configure/pumps/details/02-341958","02-341958")</f>
        <v>02-341958</v>
      </c>
      <c r="B7644" s="6" t="s">
        <v>7600</v>
      </c>
    </row>
    <row r="7645" spans="1:2" x14ac:dyDescent="0.3">
      <c r="A7645" s="7" t="str">
        <f>HYPERLINK("http://www.eatonpowersource.com/products/configure/pumps/details/02-341961","02-341961")</f>
        <v>02-341961</v>
      </c>
      <c r="B7645" s="8" t="s">
        <v>7601</v>
      </c>
    </row>
    <row r="7646" spans="1:2" x14ac:dyDescent="0.3">
      <c r="A7646" s="5" t="str">
        <f>HYPERLINK("http://www.eatonpowersource.com/products/configure/pumps/details/02-341962","02-341962")</f>
        <v>02-341962</v>
      </c>
      <c r="B7646" s="6" t="s">
        <v>7602</v>
      </c>
    </row>
    <row r="7647" spans="1:2" x14ac:dyDescent="0.3">
      <c r="A7647" s="7" t="str">
        <f>HYPERLINK("http://www.eatonpowersource.com/products/configure/pumps/details/02-341966","02-341966")</f>
        <v>02-341966</v>
      </c>
      <c r="B7647" s="8" t="s">
        <v>7603</v>
      </c>
    </row>
    <row r="7648" spans="1:2" x14ac:dyDescent="0.3">
      <c r="A7648" s="5" t="str">
        <f>HYPERLINK("http://www.eatonpowersource.com/products/configure/pumps/details/02-347115","02-347115")</f>
        <v>02-347115</v>
      </c>
      <c r="B7648" s="6" t="s">
        <v>7604</v>
      </c>
    </row>
    <row r="7649" spans="1:2" x14ac:dyDescent="0.3">
      <c r="A7649" s="7" t="str">
        <f>HYPERLINK("http://www.eatonpowersource.com/products/configure/pumps/details/02-347431","02-347431")</f>
        <v>02-347431</v>
      </c>
      <c r="B7649" s="8" t="s">
        <v>7605</v>
      </c>
    </row>
    <row r="7650" spans="1:2" x14ac:dyDescent="0.3">
      <c r="A7650" s="5" t="str">
        <f>HYPERLINK("http://www.eatonpowersource.com/products/configure/pumps/details/02-347528","02-347528")</f>
        <v>02-347528</v>
      </c>
      <c r="B7650" s="6" t="s">
        <v>7606</v>
      </c>
    </row>
    <row r="7651" spans="1:2" x14ac:dyDescent="0.3">
      <c r="A7651" s="7" t="str">
        <f>HYPERLINK("http://www.eatonpowersource.com/products/configure/pumps/details/02-347619","02-347619")</f>
        <v>02-347619</v>
      </c>
      <c r="B7651" s="8" t="s">
        <v>7607</v>
      </c>
    </row>
    <row r="7652" spans="1:2" x14ac:dyDescent="0.3">
      <c r="A7652" s="5" t="str">
        <f>HYPERLINK("http://www.eatonpowersource.com/products/configure/pumps/details/02-347973","02-347973")</f>
        <v>02-347973</v>
      </c>
      <c r="B7652" s="6" t="s">
        <v>7608</v>
      </c>
    </row>
    <row r="7653" spans="1:2" x14ac:dyDescent="0.3">
      <c r="A7653" s="7" t="str">
        <f>HYPERLINK("http://www.eatonpowersource.com/products/configure/pumps/details/02-347978","02-347978")</f>
        <v>02-347978</v>
      </c>
      <c r="B7653" s="8" t="s">
        <v>7609</v>
      </c>
    </row>
    <row r="7654" spans="1:2" x14ac:dyDescent="0.3">
      <c r="A7654" s="5" t="str">
        <f>HYPERLINK("http://www.eatonpowersource.com/products/configure/pumps/details/02-347981","02-347981")</f>
        <v>02-347981</v>
      </c>
      <c r="B7654" s="6" t="s">
        <v>7610</v>
      </c>
    </row>
    <row r="7655" spans="1:2" x14ac:dyDescent="0.3">
      <c r="A7655" s="7" t="str">
        <f>HYPERLINK("http://www.eatonpowersource.com/products/configure/pumps/details/02-348050","02-348050")</f>
        <v>02-348050</v>
      </c>
      <c r="B7655" s="8" t="s">
        <v>7611</v>
      </c>
    </row>
    <row r="7656" spans="1:2" x14ac:dyDescent="0.3">
      <c r="A7656" s="5" t="str">
        <f>HYPERLINK("http://www.eatonpowersource.com/products/configure/pumps/details/02-348444","02-348444")</f>
        <v>02-348444</v>
      </c>
      <c r="B7656" s="6" t="s">
        <v>7612</v>
      </c>
    </row>
    <row r="7657" spans="1:2" x14ac:dyDescent="0.3">
      <c r="A7657" s="7" t="str">
        <f>HYPERLINK("http://www.eatonpowersource.com/products/configure/pumps/details/02-348568","02-348568")</f>
        <v>02-348568</v>
      </c>
      <c r="B7657" s="8" t="s">
        <v>7613</v>
      </c>
    </row>
    <row r="7658" spans="1:2" x14ac:dyDescent="0.3">
      <c r="A7658" s="5" t="str">
        <f>HYPERLINK("http://www.eatonpowersource.com/products/configure/pumps/details/02-348581","02-348581")</f>
        <v>02-348581</v>
      </c>
      <c r="B7658" s="6" t="s">
        <v>7614</v>
      </c>
    </row>
    <row r="7659" spans="1:2" x14ac:dyDescent="0.3">
      <c r="A7659" s="7" t="str">
        <f>HYPERLINK("http://www.eatonpowersource.com/products/configure/pumps/details/02-348590","02-348590")</f>
        <v>02-348590</v>
      </c>
      <c r="B7659" s="8" t="s">
        <v>7615</v>
      </c>
    </row>
    <row r="7660" spans="1:2" x14ac:dyDescent="0.3">
      <c r="A7660" s="5" t="str">
        <f>HYPERLINK("http://www.eatonpowersource.com/products/configure/pumps/details/02-348599","02-348599")</f>
        <v>02-348599</v>
      </c>
      <c r="B7660" s="6" t="s">
        <v>7616</v>
      </c>
    </row>
    <row r="7661" spans="1:2" x14ac:dyDescent="0.3">
      <c r="A7661" s="7" t="str">
        <f>HYPERLINK("http://www.eatonpowersource.com/products/configure/pumps/details/02-348651","02-348651")</f>
        <v>02-348651</v>
      </c>
      <c r="B7661" s="8" t="s">
        <v>7617</v>
      </c>
    </row>
    <row r="7662" spans="1:2" x14ac:dyDescent="0.3">
      <c r="A7662" s="5" t="str">
        <f>HYPERLINK("http://www.eatonpowersource.com/products/configure/pumps/details/02-348681","02-348681")</f>
        <v>02-348681</v>
      </c>
      <c r="B7662" s="6" t="s">
        <v>7618</v>
      </c>
    </row>
    <row r="7663" spans="1:2" x14ac:dyDescent="0.3">
      <c r="A7663" s="7" t="str">
        <f>HYPERLINK("http://www.eatonpowersource.com/products/configure/pumps/details/02-348682","02-348682")</f>
        <v>02-348682</v>
      </c>
      <c r="B7663" s="8" t="s">
        <v>7619</v>
      </c>
    </row>
    <row r="7664" spans="1:2" x14ac:dyDescent="0.3">
      <c r="A7664" s="5" t="str">
        <f>HYPERLINK("http://www.eatonpowersource.com/products/configure/pumps/details/02-348684","02-348684")</f>
        <v>02-348684</v>
      </c>
      <c r="B7664" s="6" t="s">
        <v>7620</v>
      </c>
    </row>
    <row r="7665" spans="1:2" x14ac:dyDescent="0.3">
      <c r="A7665" s="7" t="str">
        <f>HYPERLINK("http://www.eatonpowersource.com/products/configure/pumps/details/02-348703","02-348703")</f>
        <v>02-348703</v>
      </c>
      <c r="B7665" s="8" t="s">
        <v>7621</v>
      </c>
    </row>
    <row r="7666" spans="1:2" x14ac:dyDescent="0.3">
      <c r="A7666" s="5" t="str">
        <f>HYPERLINK("http://www.eatonpowersource.com/products/configure/pumps/details/02-348711","02-348711")</f>
        <v>02-348711</v>
      </c>
      <c r="B7666" s="6" t="s">
        <v>7622</v>
      </c>
    </row>
    <row r="7667" spans="1:2" x14ac:dyDescent="0.3">
      <c r="A7667" s="7" t="str">
        <f>HYPERLINK("http://www.eatonpowersource.com/products/configure/pumps/details/02-348720","02-348720")</f>
        <v>02-348720</v>
      </c>
      <c r="B7667" s="8" t="s">
        <v>7623</v>
      </c>
    </row>
    <row r="7668" spans="1:2" x14ac:dyDescent="0.3">
      <c r="A7668" s="5" t="str">
        <f>HYPERLINK("http://www.eatonpowersource.com/products/configure/pumps/details/02-348722","02-348722")</f>
        <v>02-348722</v>
      </c>
      <c r="B7668" s="6" t="s">
        <v>7624</v>
      </c>
    </row>
    <row r="7669" spans="1:2" x14ac:dyDescent="0.3">
      <c r="A7669" s="7" t="str">
        <f>HYPERLINK("http://www.eatonpowersource.com/products/configure/pumps/details/02-348766","02-348766")</f>
        <v>02-348766</v>
      </c>
      <c r="B7669" s="8" t="s">
        <v>7625</v>
      </c>
    </row>
    <row r="7670" spans="1:2" x14ac:dyDescent="0.3">
      <c r="A7670" s="5" t="str">
        <f>HYPERLINK("http://www.eatonpowersource.com/products/configure/pumps/details/02-348791","02-348791")</f>
        <v>02-348791</v>
      </c>
      <c r="B7670" s="6" t="s">
        <v>7626</v>
      </c>
    </row>
    <row r="7671" spans="1:2" x14ac:dyDescent="0.3">
      <c r="A7671" s="7" t="str">
        <f>HYPERLINK("http://www.eatonpowersource.com/products/configure/pumps/details/02-348804","02-348804")</f>
        <v>02-348804</v>
      </c>
      <c r="B7671" s="8" t="s">
        <v>7627</v>
      </c>
    </row>
    <row r="7672" spans="1:2" x14ac:dyDescent="0.3">
      <c r="A7672" s="5" t="str">
        <f>HYPERLINK("http://www.eatonpowersource.com/products/configure/pumps/details/02-348808","02-348808")</f>
        <v>02-348808</v>
      </c>
      <c r="B7672" s="6" t="s">
        <v>7628</v>
      </c>
    </row>
    <row r="7673" spans="1:2" x14ac:dyDescent="0.3">
      <c r="A7673" s="7" t="str">
        <f>HYPERLINK("http://www.eatonpowersource.com/products/configure/pumps/details/02-348809","02-348809")</f>
        <v>02-348809</v>
      </c>
      <c r="B7673" s="8" t="s">
        <v>7629</v>
      </c>
    </row>
    <row r="7674" spans="1:2" x14ac:dyDescent="0.3">
      <c r="A7674" s="5" t="str">
        <f>HYPERLINK("http://www.eatonpowersource.com/products/configure/pumps/details/02-348810","02-348810")</f>
        <v>02-348810</v>
      </c>
      <c r="B7674" s="6" t="s">
        <v>7630</v>
      </c>
    </row>
    <row r="7675" spans="1:2" x14ac:dyDescent="0.3">
      <c r="A7675" s="7" t="str">
        <f>HYPERLINK("http://www.eatonpowersource.com/products/configure/pumps/details/02-348812","02-348812")</f>
        <v>02-348812</v>
      </c>
      <c r="B7675" s="8" t="s">
        <v>7631</v>
      </c>
    </row>
    <row r="7676" spans="1:2" x14ac:dyDescent="0.3">
      <c r="A7676" s="5" t="str">
        <f>HYPERLINK("http://www.eatonpowersource.com/products/configure/pumps/details/02-348814","02-348814")</f>
        <v>02-348814</v>
      </c>
      <c r="B7676" s="6" t="s">
        <v>7632</v>
      </c>
    </row>
    <row r="7677" spans="1:2" x14ac:dyDescent="0.3">
      <c r="A7677" s="7" t="str">
        <f>HYPERLINK("http://www.eatonpowersource.com/products/configure/pumps/details/02-348834","02-348834")</f>
        <v>02-348834</v>
      </c>
      <c r="B7677" s="8" t="s">
        <v>7633</v>
      </c>
    </row>
    <row r="7678" spans="1:2" x14ac:dyDescent="0.3">
      <c r="A7678" s="5" t="str">
        <f>HYPERLINK("http://www.eatonpowersource.com/products/configure/pumps/details/02-348839","02-348839")</f>
        <v>02-348839</v>
      </c>
      <c r="B7678" s="6" t="s">
        <v>7634</v>
      </c>
    </row>
    <row r="7679" spans="1:2" x14ac:dyDescent="0.3">
      <c r="A7679" s="7" t="str">
        <f>HYPERLINK("http://www.eatonpowersource.com/products/configure/pumps/details/02-348852","02-348852")</f>
        <v>02-348852</v>
      </c>
      <c r="B7679" s="8" t="s">
        <v>7635</v>
      </c>
    </row>
    <row r="7680" spans="1:2" x14ac:dyDescent="0.3">
      <c r="A7680" s="5" t="str">
        <f>HYPERLINK("http://www.eatonpowersource.com/products/configure/pumps/details/02-348887","02-348887")</f>
        <v>02-348887</v>
      </c>
      <c r="B7680" s="6" t="s">
        <v>7636</v>
      </c>
    </row>
    <row r="7681" spans="1:2" x14ac:dyDescent="0.3">
      <c r="A7681" s="7" t="str">
        <f>HYPERLINK("http://www.eatonpowersource.com/products/configure/pumps/details/02-348943","02-348943")</f>
        <v>02-348943</v>
      </c>
      <c r="B7681" s="8" t="s">
        <v>7637</v>
      </c>
    </row>
    <row r="7682" spans="1:2" x14ac:dyDescent="0.3">
      <c r="A7682" s="5" t="str">
        <f>HYPERLINK("http://www.eatonpowersource.com/products/configure/pumps/details/02-465515","02-465515")</f>
        <v>02-465515</v>
      </c>
      <c r="B7682" s="6" t="s">
        <v>7638</v>
      </c>
    </row>
    <row r="7683" spans="1:2" x14ac:dyDescent="0.3">
      <c r="A7683" s="7" t="str">
        <f>HYPERLINK("http://www.eatonpowersource.com/products/configure/pumps/details/02-466077","02-466077")</f>
        <v>02-466077</v>
      </c>
      <c r="B7683" s="8" t="s">
        <v>7639</v>
      </c>
    </row>
    <row r="7684" spans="1:2" x14ac:dyDescent="0.3">
      <c r="A7684" s="5" t="str">
        <f>HYPERLINK("http://www.eatonpowersource.com/products/configure/pumps/details/02-466096","02-466096")</f>
        <v>02-466096</v>
      </c>
      <c r="B7684" s="6" t="s">
        <v>7640</v>
      </c>
    </row>
    <row r="7685" spans="1:2" x14ac:dyDescent="0.3">
      <c r="A7685" s="7" t="str">
        <f>HYPERLINK("http://www.eatonpowersource.com/products/configure/pumps/details/02-466104","02-466104")</f>
        <v>02-466104</v>
      </c>
      <c r="B7685" s="8" t="s">
        <v>7641</v>
      </c>
    </row>
    <row r="7686" spans="1:2" x14ac:dyDescent="0.3">
      <c r="A7686" s="5" t="str">
        <f>HYPERLINK("http://www.eatonpowersource.com/products/configure/pumps/details/02-466210","02-466210")</f>
        <v>02-466210</v>
      </c>
      <c r="B7686" s="6" t="s">
        <v>7642</v>
      </c>
    </row>
    <row r="7687" spans="1:2" x14ac:dyDescent="0.3">
      <c r="A7687" s="7" t="str">
        <f>HYPERLINK("http://www.eatonpowersource.com/products/configure/pumps/details/02-466256","02-466256")</f>
        <v>02-466256</v>
      </c>
      <c r="B7687" s="8" t="s">
        <v>7643</v>
      </c>
    </row>
    <row r="7688" spans="1:2" x14ac:dyDescent="0.3">
      <c r="A7688" s="5" t="str">
        <f>HYPERLINK("http://www.eatonpowersource.com/products/configure/pumps/details/02-466308","02-466308")</f>
        <v>02-466308</v>
      </c>
      <c r="B7688" s="6" t="s">
        <v>7644</v>
      </c>
    </row>
    <row r="7689" spans="1:2" x14ac:dyDescent="0.3">
      <c r="A7689" s="7" t="str">
        <f>HYPERLINK("http://www.eatonpowersource.com/products/configure/pumps/details/02-466381","02-466381")</f>
        <v>02-466381</v>
      </c>
      <c r="B7689" s="8" t="s">
        <v>7645</v>
      </c>
    </row>
    <row r="7690" spans="1:2" x14ac:dyDescent="0.3">
      <c r="A7690" s="5" t="str">
        <f>HYPERLINK("http://www.eatonpowersource.com/products/configure/pumps/details/02-466532","02-466532")</f>
        <v>02-466532</v>
      </c>
      <c r="B7690" s="6" t="s">
        <v>7646</v>
      </c>
    </row>
    <row r="7691" spans="1:2" x14ac:dyDescent="0.3">
      <c r="A7691" s="7" t="str">
        <f>HYPERLINK("http://www.eatonpowersource.com/products/configure/pumps/details/02-466533","02-466533")</f>
        <v>02-466533</v>
      </c>
      <c r="B7691" s="8" t="s">
        <v>7647</v>
      </c>
    </row>
    <row r="7692" spans="1:2" x14ac:dyDescent="0.3">
      <c r="A7692" s="5" t="str">
        <f>HYPERLINK("http://www.eatonpowersource.com/products/configure/pumps/details/02-466563","02-466563")</f>
        <v>02-466563</v>
      </c>
      <c r="B7692" s="6" t="s">
        <v>7648</v>
      </c>
    </row>
    <row r="7693" spans="1:2" x14ac:dyDescent="0.3">
      <c r="A7693" s="7" t="str">
        <f>HYPERLINK("http://www.eatonpowersource.com/products/configure/pumps/details/02-466564","02-466564")</f>
        <v>02-466564</v>
      </c>
      <c r="B7693" s="8" t="s">
        <v>7649</v>
      </c>
    </row>
    <row r="7694" spans="1:2" x14ac:dyDescent="0.3">
      <c r="A7694" s="5" t="str">
        <f>HYPERLINK("http://www.eatonpowersource.com/products/configure/pumps/details/02-466568","02-466568")</f>
        <v>02-466568</v>
      </c>
      <c r="B7694" s="6" t="s">
        <v>7650</v>
      </c>
    </row>
    <row r="7695" spans="1:2" x14ac:dyDescent="0.3">
      <c r="A7695" s="7" t="str">
        <f>HYPERLINK("http://www.eatonpowersource.com/products/configure/pumps/details/02-466569","02-466569")</f>
        <v>02-466569</v>
      </c>
      <c r="B7695" s="8" t="s">
        <v>7651</v>
      </c>
    </row>
    <row r="7696" spans="1:2" x14ac:dyDescent="0.3">
      <c r="A7696" s="5" t="str">
        <f>HYPERLINK("http://www.eatonpowersource.com/products/configure/pumps/details/02-466593","02-466593")</f>
        <v>02-466593</v>
      </c>
      <c r="B7696" s="6" t="s">
        <v>7652</v>
      </c>
    </row>
    <row r="7697" spans="1:2" x14ac:dyDescent="0.3">
      <c r="A7697" s="7" t="str">
        <f>HYPERLINK("http://www.eatonpowersource.com/products/configure/pumps/details/02-466597","02-466597")</f>
        <v>02-466597</v>
      </c>
      <c r="B7697" s="8" t="s">
        <v>7653</v>
      </c>
    </row>
    <row r="7698" spans="1:2" x14ac:dyDescent="0.3">
      <c r="A7698" s="5" t="str">
        <f>HYPERLINK("http://www.eatonpowersource.com/products/configure/pumps/details/02-466704","02-466704")</f>
        <v>02-466704</v>
      </c>
      <c r="B7698" s="6" t="s">
        <v>7654</v>
      </c>
    </row>
    <row r="7699" spans="1:2" x14ac:dyDescent="0.3">
      <c r="A7699" s="7" t="str">
        <f>HYPERLINK("http://www.eatonpowersource.com/products/configure/pumps/details/02-466711","02-466711")</f>
        <v>02-466711</v>
      </c>
      <c r="B7699" s="8" t="s">
        <v>7655</v>
      </c>
    </row>
    <row r="7700" spans="1:2" x14ac:dyDescent="0.3">
      <c r="A7700" s="5" t="str">
        <f>HYPERLINK("http://www.eatonpowersource.com/products/configure/pumps/details/02-466813","02-466813")</f>
        <v>02-466813</v>
      </c>
      <c r="B7700" s="6" t="s">
        <v>7656</v>
      </c>
    </row>
    <row r="7701" spans="1:2" x14ac:dyDescent="0.3">
      <c r="A7701" s="7" t="str">
        <f>HYPERLINK("http://www.eatonpowersource.com/products/configure/pumps/details/212al00001a","212AL00001A")</f>
        <v>212AL00001A</v>
      </c>
      <c r="B7701" s="8" t="s">
        <v>7657</v>
      </c>
    </row>
    <row r="7702" spans="1:2" x14ac:dyDescent="0.3">
      <c r="A7702" s="5" t="str">
        <f>HYPERLINK("http://www.eatonpowersource.com/products/configure/pumps/details/411ak00034a","411AK00034A")</f>
        <v>411AK00034A</v>
      </c>
      <c r="B7702" s="6" t="s">
        <v>7658</v>
      </c>
    </row>
    <row r="7703" spans="1:2" x14ac:dyDescent="0.3">
      <c r="A7703" s="7" t="str">
        <f>HYPERLINK("http://www.eatonpowersource.com/products/configure/pumps/details/411ak00098a","411AK00098A")</f>
        <v>411AK00098A</v>
      </c>
      <c r="B7703" s="8" t="s">
        <v>7659</v>
      </c>
    </row>
    <row r="7704" spans="1:2" x14ac:dyDescent="0.3">
      <c r="A7704" s="5" t="str">
        <f>HYPERLINK("http://www.eatonpowersource.com/products/configure/pumps/details/411ak00152a","411AK00152A")</f>
        <v>411AK00152A</v>
      </c>
      <c r="B7704" s="6" t="s">
        <v>7660</v>
      </c>
    </row>
    <row r="7705" spans="1:2" x14ac:dyDescent="0.3">
      <c r="A7705" s="7" t="str">
        <f>HYPERLINK("http://www.eatonpowersource.com/products/configure/pumps/details/411ak00153a","411AK00153A")</f>
        <v>411AK00153A</v>
      </c>
      <c r="B7705" s="8" t="s">
        <v>7661</v>
      </c>
    </row>
    <row r="7706" spans="1:2" x14ac:dyDescent="0.3">
      <c r="A7706" s="5" t="str">
        <f>HYPERLINK("http://www.eatonpowersource.com/products/configure/pumps/details/411ak00158a","411AK00158A")</f>
        <v>411AK00158A</v>
      </c>
      <c r="B7706" s="6" t="s">
        <v>7662</v>
      </c>
    </row>
    <row r="7707" spans="1:2" x14ac:dyDescent="0.3">
      <c r="A7707" s="7" t="str">
        <f>HYPERLINK("http://www.eatonpowersource.com/products/configure/pumps/details/411ak00175a","411AK00175A")</f>
        <v>411AK00175A</v>
      </c>
      <c r="B7707" s="8" t="s">
        <v>7663</v>
      </c>
    </row>
    <row r="7708" spans="1:2" x14ac:dyDescent="0.3">
      <c r="A7708" s="5" t="str">
        <f>HYPERLINK("http://www.eatonpowersource.com/products/configure/pumps/details/411ak00203a","411AK00203A")</f>
        <v>411AK00203A</v>
      </c>
      <c r="B7708" s="6" t="s">
        <v>7664</v>
      </c>
    </row>
    <row r="7709" spans="1:2" x14ac:dyDescent="0.3">
      <c r="A7709" s="7" t="str">
        <f>HYPERLINK("http://www.eatonpowersource.com/products/configure/pumps/details/411ak00336a","411AK00336A")</f>
        <v>411AK00336A</v>
      </c>
      <c r="B7709" s="8" t="s">
        <v>7665</v>
      </c>
    </row>
    <row r="7710" spans="1:2" x14ac:dyDescent="0.3">
      <c r="A7710" s="5" t="str">
        <f>HYPERLINK("http://www.eatonpowersource.com/products/configure/pumps/details/411ak00436a","411AK00436A")</f>
        <v>411AK00436A</v>
      </c>
      <c r="B7710" s="6" t="s">
        <v>7666</v>
      </c>
    </row>
    <row r="7711" spans="1:2" x14ac:dyDescent="0.3">
      <c r="A7711" s="7" t="str">
        <f>HYPERLINK("http://www.eatonpowersource.com/products/configure/pumps/details/412al00028a","412AL00028A")</f>
        <v>412AL00028A</v>
      </c>
      <c r="B7711" s="8" t="s">
        <v>7667</v>
      </c>
    </row>
    <row r="7712" spans="1:2" x14ac:dyDescent="0.3">
      <c r="A7712" s="5" t="str">
        <f>HYPERLINK("http://www.eatonpowersource.com/products/configure/pumps/details/412al00058a","412AL00058A")</f>
        <v>412AL00058A</v>
      </c>
      <c r="B7712" s="6" t="s">
        <v>7668</v>
      </c>
    </row>
    <row r="7713" spans="1:2" x14ac:dyDescent="0.3">
      <c r="A7713" s="7" t="str">
        <f>HYPERLINK("http://www.eatonpowersource.com/products/configure/pumps/details/02-125240-a","02-125240-A")</f>
        <v>02-125240-A</v>
      </c>
      <c r="B7713" s="8" t="s">
        <v>7669</v>
      </c>
    </row>
    <row r="7714" spans="1:2" x14ac:dyDescent="0.3">
      <c r="A7714" s="5" t="str">
        <f>HYPERLINK("http://www.eatonpowersource.com/products/configure/pumps/details/02-125240-cl","02-125240-CL")</f>
        <v>02-125240-CL</v>
      </c>
      <c r="B7714" s="6" t="s">
        <v>7670</v>
      </c>
    </row>
    <row r="7715" spans="1:2" x14ac:dyDescent="0.3">
      <c r="A7715" s="7" t="str">
        <f>HYPERLINK("http://www.eatonpowersource.com/products/configure/pumps/details/02-125690-a","02-125690-A")</f>
        <v>02-125690-A</v>
      </c>
      <c r="B7715" s="8" t="s">
        <v>7671</v>
      </c>
    </row>
    <row r="7716" spans="1:2" x14ac:dyDescent="0.3">
      <c r="A7716" s="5" t="str">
        <f>HYPERLINK("http://www.eatonpowersource.com/products/configure/pumps/details/02-136715-a","02-136715-A")</f>
        <v>02-136715-A</v>
      </c>
      <c r="B7716" s="6" t="s">
        <v>7672</v>
      </c>
    </row>
    <row r="7717" spans="1:2" x14ac:dyDescent="0.3">
      <c r="A7717" s="7" t="str">
        <f>HYPERLINK("http://www.eatonpowersource.com/products/configure/pumps/details/02-136715-c","02-136715-C")</f>
        <v>02-136715-C</v>
      </c>
      <c r="B7717" s="8" t="s">
        <v>7673</v>
      </c>
    </row>
    <row r="7718" spans="1:2" x14ac:dyDescent="0.3">
      <c r="A7718" s="5" t="str">
        <f>HYPERLINK("http://www.eatonpowersource.com/products/configure/pumps/details/02-136964-a","02-136964-A")</f>
        <v>02-136964-A</v>
      </c>
      <c r="B7718" s="6" t="s">
        <v>7674</v>
      </c>
    </row>
    <row r="7719" spans="1:2" x14ac:dyDescent="0.3">
      <c r="A7719" s="7" t="str">
        <f>HYPERLINK("http://www.eatonpowersource.com/products/configure/pumps/details/02-136964-c","02-136964-C")</f>
        <v>02-136964-C</v>
      </c>
      <c r="B7719" s="8" t="s">
        <v>7675</v>
      </c>
    </row>
    <row r="7720" spans="1:2" x14ac:dyDescent="0.3">
      <c r="A7720" s="5" t="str">
        <f>HYPERLINK("http://www.eatonpowersource.com/products/configure/pumps/details/02-137414-cc","02-137414-CC")</f>
        <v>02-137414-CC</v>
      </c>
      <c r="B7720" s="6" t="s">
        <v>7676</v>
      </c>
    </row>
    <row r="7721" spans="1:2" x14ac:dyDescent="0.3">
      <c r="A7721" s="7" t="str">
        <f>HYPERLINK("http://www.eatonpowersource.com/products/configure/pumps/details/02-141795-c","02-141795-C")</f>
        <v>02-141795-C</v>
      </c>
      <c r="B7721" s="8" t="s">
        <v>7677</v>
      </c>
    </row>
    <row r="7722" spans="1:2" x14ac:dyDescent="0.3">
      <c r="A7722" s="5" t="str">
        <f>HYPERLINK("http://www.eatonpowersource.com/products/configure/pumps/details/02-141923-c","02-141923-C")</f>
        <v>02-141923-C</v>
      </c>
      <c r="B7722" s="6" t="s">
        <v>7678</v>
      </c>
    </row>
    <row r="7723" spans="1:2" x14ac:dyDescent="0.3">
      <c r="A7723" s="7" t="str">
        <f>HYPERLINK("http://www.eatonpowersource.com/products/configure/pumps/details/02-141979-cl","02-141979-CL")</f>
        <v>02-141979-CL</v>
      </c>
      <c r="B7723" s="8" t="s">
        <v>7679</v>
      </c>
    </row>
    <row r="7724" spans="1:2" x14ac:dyDescent="0.3">
      <c r="A7724" s="5" t="str">
        <f>HYPERLINK("http://www.eatonpowersource.com/products/configure/pumps/details/02-142193-c","02-142193-C")</f>
        <v>02-142193-C</v>
      </c>
      <c r="B7724" s="6" t="s">
        <v>7680</v>
      </c>
    </row>
    <row r="7725" spans="1:2" x14ac:dyDescent="0.3">
      <c r="A7725" s="7" t="str">
        <f>HYPERLINK("http://www.eatonpowersource.com/products/configure/pumps/details/02-142198-cl","02-142198-CL")</f>
        <v>02-142198-CL</v>
      </c>
      <c r="B7725" s="8" t="s">
        <v>7681</v>
      </c>
    </row>
    <row r="7726" spans="1:2" x14ac:dyDescent="0.3">
      <c r="A7726" s="5" t="str">
        <f>HYPERLINK("http://www.eatonpowersource.com/products/configure/pumps/details/02-143312-aa","02-143312-AA")</f>
        <v>02-143312-AA</v>
      </c>
      <c r="B7726" s="6" t="s">
        <v>7682</v>
      </c>
    </row>
    <row r="7727" spans="1:2" x14ac:dyDescent="0.3">
      <c r="A7727" s="7" t="str">
        <f>HYPERLINK("http://www.eatonpowersource.com/products/configure/pumps/details/02-143313-aa","02-143313-AA")</f>
        <v>02-143313-AA</v>
      </c>
      <c r="B7727" s="8" t="s">
        <v>7683</v>
      </c>
    </row>
    <row r="7728" spans="1:2" x14ac:dyDescent="0.3">
      <c r="A7728" s="5" t="str">
        <f>HYPERLINK("http://www.eatonpowersource.com/products/configure/pumps/details/02-143407-aa","02-143407-AA")</f>
        <v>02-143407-AA</v>
      </c>
      <c r="B7728" s="6" t="s">
        <v>7684</v>
      </c>
    </row>
    <row r="7729" spans="1:2" x14ac:dyDescent="0.3">
      <c r="A7729" s="7" t="str">
        <f>HYPERLINK("http://www.eatonpowersource.com/products/configure/pumps/details/02-143407-cc","02-143407-CC")</f>
        <v>02-143407-CC</v>
      </c>
      <c r="B7729" s="8" t="s">
        <v>7685</v>
      </c>
    </row>
    <row r="7730" spans="1:2" x14ac:dyDescent="0.3">
      <c r="A7730" s="5" t="str">
        <f>HYPERLINK("http://www.eatonpowersource.com/products/configure/pumps/details/02-143451-aa","02-143451-AA")</f>
        <v>02-143451-AA</v>
      </c>
      <c r="B7730" s="6" t="s">
        <v>7686</v>
      </c>
    </row>
    <row r="7731" spans="1:2" x14ac:dyDescent="0.3">
      <c r="A7731" s="7" t="str">
        <f>HYPERLINK("http://www.eatonpowersource.com/products/configure/pumps/details/02-143451-cc","02-143451-CC")</f>
        <v>02-143451-CC</v>
      </c>
      <c r="B7731" s="8" t="s">
        <v>7687</v>
      </c>
    </row>
    <row r="7732" spans="1:2" x14ac:dyDescent="0.3">
      <c r="A7732" s="5" t="str">
        <f>HYPERLINK("http://www.eatonpowersource.com/products/configure/pumps/details/02-143562-aa","02-143562-AA")</f>
        <v>02-143562-AA</v>
      </c>
      <c r="B7732" s="6" t="s">
        <v>7688</v>
      </c>
    </row>
    <row r="7733" spans="1:2" x14ac:dyDescent="0.3">
      <c r="A7733" s="7" t="str">
        <f>HYPERLINK("http://www.eatonpowersource.com/products/configure/pumps/details/02-143562-ad","02-143562-AD")</f>
        <v>02-143562-AD</v>
      </c>
      <c r="B7733" s="8" t="s">
        <v>7689</v>
      </c>
    </row>
    <row r="7734" spans="1:2" x14ac:dyDescent="0.3">
      <c r="A7734" s="5" t="str">
        <f>HYPERLINK("http://www.eatonpowersource.com/products/configure/pumps/details/02-143562-cc","02-143562-CC")</f>
        <v>02-143562-CC</v>
      </c>
      <c r="B7734" s="6" t="s">
        <v>7690</v>
      </c>
    </row>
    <row r="7735" spans="1:2" x14ac:dyDescent="0.3">
      <c r="A7735" s="7" t="str">
        <f>HYPERLINK("http://www.eatonpowersource.com/products/configure/pumps/details/02-143563-ad","02-143563-AD")</f>
        <v>02-143563-AD</v>
      </c>
      <c r="B7735" s="8" t="s">
        <v>7691</v>
      </c>
    </row>
    <row r="7736" spans="1:2" x14ac:dyDescent="0.3">
      <c r="A7736" s="5" t="str">
        <f>HYPERLINK("http://www.eatonpowersource.com/products/configure/pumps/details/02-143632-aa","02-143632-AA")</f>
        <v>02-143632-AA</v>
      </c>
      <c r="B7736" s="6" t="s">
        <v>7692</v>
      </c>
    </row>
    <row r="7737" spans="1:2" x14ac:dyDescent="0.3">
      <c r="A7737" s="7" t="str">
        <f>HYPERLINK("http://www.eatonpowersource.com/products/configure/pumps/details/02-143655-aa","02-143655-AA")</f>
        <v>02-143655-AA</v>
      </c>
      <c r="B7737" s="8" t="s">
        <v>7693</v>
      </c>
    </row>
    <row r="7738" spans="1:2" x14ac:dyDescent="0.3">
      <c r="A7738" s="5" t="str">
        <f>HYPERLINK("http://www.eatonpowersource.com/products/configure/pumps/details/02-143662-aa","02-143662-AA")</f>
        <v>02-143662-AA</v>
      </c>
      <c r="B7738" s="6" t="s">
        <v>7694</v>
      </c>
    </row>
    <row r="7739" spans="1:2" x14ac:dyDescent="0.3">
      <c r="A7739" s="7" t="str">
        <f>HYPERLINK("http://www.eatonpowersource.com/products/configure/pumps/details/02-143664-cc","02-143664-CC")</f>
        <v>02-143664-CC</v>
      </c>
      <c r="B7739" s="8" t="s">
        <v>7695</v>
      </c>
    </row>
    <row r="7740" spans="1:2" x14ac:dyDescent="0.3">
      <c r="A7740" s="5" t="str">
        <f>HYPERLINK("http://www.eatonpowersource.com/products/configure/pumps/details/02-143686-aa","02-143686-AA")</f>
        <v>02-143686-AA</v>
      </c>
      <c r="B7740" s="6" t="s">
        <v>7696</v>
      </c>
    </row>
    <row r="7741" spans="1:2" x14ac:dyDescent="0.3">
      <c r="A7741" s="7" t="str">
        <f>HYPERLINK("http://www.eatonpowersource.com/products/configure/pumps/details/02-143686-cc","02-143686-CC")</f>
        <v>02-143686-CC</v>
      </c>
      <c r="B7741" s="8" t="s">
        <v>7697</v>
      </c>
    </row>
    <row r="7742" spans="1:2" x14ac:dyDescent="0.3">
      <c r="A7742" s="5" t="str">
        <f>HYPERLINK("http://www.eatonpowersource.com/products/configure/pumps/details/02-151512-aa","02-151512-AA")</f>
        <v>02-151512-AA</v>
      </c>
      <c r="B7742" s="6" t="s">
        <v>7698</v>
      </c>
    </row>
    <row r="7743" spans="1:2" x14ac:dyDescent="0.3">
      <c r="A7743" s="7" t="str">
        <f>HYPERLINK("http://www.eatonpowersource.com/products/configure/pumps/details/02-151512-aal","02-151512-AAL")</f>
        <v>02-151512-AAL</v>
      </c>
      <c r="B7743" s="8" t="s">
        <v>7699</v>
      </c>
    </row>
    <row r="7744" spans="1:2" x14ac:dyDescent="0.3">
      <c r="A7744" s="5" t="str">
        <f>HYPERLINK("http://www.eatonpowersource.com/products/configure/pumps/details/02-151754-aa","02-151754-AA")</f>
        <v>02-151754-AA</v>
      </c>
      <c r="B7744" s="6" t="s">
        <v>7700</v>
      </c>
    </row>
    <row r="7745" spans="1:2" x14ac:dyDescent="0.3">
      <c r="A7745" s="7" t="str">
        <f>HYPERLINK("http://www.eatonpowersource.com/products/configure/pumps/details/02-151805-c","02-151805-C")</f>
        <v>02-151805-C</v>
      </c>
      <c r="B7745" s="8" t="s">
        <v>7701</v>
      </c>
    </row>
    <row r="7746" spans="1:2" x14ac:dyDescent="0.3">
      <c r="A7746" s="5" t="str">
        <f>HYPERLINK("http://www.eatonpowersource.com/products/configure/pumps/details/02-151882-cc","02-151882-CC")</f>
        <v>02-151882-CC</v>
      </c>
      <c r="B7746" s="6" t="s">
        <v>7702</v>
      </c>
    </row>
    <row r="7747" spans="1:2" x14ac:dyDescent="0.3">
      <c r="A7747" s="7" t="str">
        <f>HYPERLINK("http://www.eatonpowersource.com/products/configure/pumps/details/02-151930-ad","02-151930-AD")</f>
        <v>02-151930-AD</v>
      </c>
      <c r="B7747" s="8" t="s">
        <v>7703</v>
      </c>
    </row>
    <row r="7748" spans="1:2" x14ac:dyDescent="0.3">
      <c r="A7748" s="5" t="str">
        <f>HYPERLINK("http://www.eatonpowersource.com/products/configure/pumps/details/02-151930-cc","02-151930-CC")</f>
        <v>02-151930-CC</v>
      </c>
      <c r="B7748" s="6" t="s">
        <v>7704</v>
      </c>
    </row>
    <row r="7749" spans="1:2" x14ac:dyDescent="0.3">
      <c r="A7749" s="7" t="str">
        <f>HYPERLINK("http://www.eatonpowersource.com/products/configure/pumps/details/02-152435-a","02-152435-A")</f>
        <v>02-152435-A</v>
      </c>
      <c r="B7749" s="8" t="s">
        <v>7705</v>
      </c>
    </row>
    <row r="7750" spans="1:2" x14ac:dyDescent="0.3">
      <c r="A7750" s="5" t="str">
        <f>HYPERLINK("http://www.eatonpowersource.com/products/configure/pumps/details/02-160167-aa","02-160167-AA")</f>
        <v>02-160167-AA</v>
      </c>
      <c r="B7750" s="6" t="s">
        <v>7706</v>
      </c>
    </row>
    <row r="7751" spans="1:2" x14ac:dyDescent="0.3">
      <c r="A7751" s="7" t="str">
        <f>HYPERLINK("http://www.eatonpowersource.com/products/configure/pumps/details/02-160167-cc","02-160167-CC")</f>
        <v>02-160167-CC</v>
      </c>
      <c r="B7751" s="8" t="s">
        <v>7707</v>
      </c>
    </row>
    <row r="7752" spans="1:2" x14ac:dyDescent="0.3">
      <c r="A7752" s="5" t="str">
        <f>HYPERLINK("http://www.eatonpowersource.com/products/configure/pumps/details/02-160484-aa","02-160484-AA")</f>
        <v>02-160484-AA</v>
      </c>
      <c r="B7752" s="6" t="s">
        <v>7708</v>
      </c>
    </row>
    <row r="7753" spans="1:2" x14ac:dyDescent="0.3">
      <c r="A7753" s="7" t="str">
        <f>HYPERLINK("http://www.eatonpowersource.com/products/configure/pumps/details/02-305565-aa","02-305565-AA")</f>
        <v>02-305565-AA</v>
      </c>
      <c r="B7753" s="8" t="s">
        <v>7709</v>
      </c>
    </row>
    <row r="7754" spans="1:2" x14ac:dyDescent="0.3">
      <c r="A7754" s="5" t="str">
        <f>HYPERLINK("http://www.eatonpowersource.com/products/configure/pumps/details/02-305719-c","02-305719-C")</f>
        <v>02-305719-C</v>
      </c>
      <c r="B7754" s="6" t="s">
        <v>7710</v>
      </c>
    </row>
    <row r="7755" spans="1:2" x14ac:dyDescent="0.3">
      <c r="A7755" s="7" t="str">
        <f>HYPERLINK("http://www.eatonpowersource.com/products/configure/pumps/details/02-305844-cc","02-305844-CC")</f>
        <v>02-305844-CC</v>
      </c>
      <c r="B7755" s="8" t="s">
        <v>7711</v>
      </c>
    </row>
    <row r="7756" spans="1:2" x14ac:dyDescent="0.3">
      <c r="A7756" s="5" t="str">
        <f>HYPERLINK("http://www.eatonpowersource.com/products/configure/pumps/details/02-306080-cc","02-306080-CC")</f>
        <v>02-306080-CC</v>
      </c>
      <c r="B7756" s="6" t="s">
        <v>7712</v>
      </c>
    </row>
    <row r="7757" spans="1:2" x14ac:dyDescent="0.3">
      <c r="A7757" s="7" t="str">
        <f>HYPERLINK("http://www.eatonpowersource.com/products/configure/pumps/details/02-315503-bl","02-315503-BL")</f>
        <v>02-315503-BL</v>
      </c>
      <c r="B7757" s="8" t="s">
        <v>7713</v>
      </c>
    </row>
    <row r="7758" spans="1:2" x14ac:dyDescent="0.3">
      <c r="A7758" s="5" t="str">
        <f>HYPERLINK("http://www.eatonpowersource.com/products/configure/pumps/details/02-315503-br","02-315503-BR")</f>
        <v>02-315503-BR</v>
      </c>
      <c r="B7758" s="6" t="s">
        <v>7714</v>
      </c>
    </row>
    <row r="7759" spans="1:2" x14ac:dyDescent="0.3">
      <c r="A7759" s="7" t="str">
        <f>HYPERLINK("http://www.eatonpowersource.com/products/configure/pumps/details/02-315503-dr","02-315503-DR")</f>
        <v>02-315503-DR</v>
      </c>
      <c r="B7759" s="8" t="s">
        <v>7715</v>
      </c>
    </row>
    <row r="7760" spans="1:2" x14ac:dyDescent="0.3">
      <c r="A7760" s="5" t="str">
        <f>HYPERLINK("http://www.eatonpowersource.com/products/configure/pumps/details/02-318820-bl","02-318820-BL")</f>
        <v>02-318820-BL</v>
      </c>
      <c r="B7760" s="6" t="s">
        <v>7716</v>
      </c>
    </row>
    <row r="7761" spans="1:2" x14ac:dyDescent="0.3">
      <c r="A7761" s="7" t="str">
        <f>HYPERLINK("http://www.eatonpowersource.com/products/configure/pumps/details/02-318820-d","02-318820-D")</f>
        <v>02-318820-D</v>
      </c>
      <c r="B7761" s="8" t="s">
        <v>7717</v>
      </c>
    </row>
    <row r="7762" spans="1:2" x14ac:dyDescent="0.3">
      <c r="A7762" s="5" t="str">
        <f>HYPERLINK("http://www.eatonpowersource.com/products/configure/pumps/details/02-318820-dl","02-318820-DL")</f>
        <v>02-318820-DL</v>
      </c>
      <c r="B7762" s="6" t="s">
        <v>7718</v>
      </c>
    </row>
    <row r="7763" spans="1:2" x14ac:dyDescent="0.3">
      <c r="A7763" s="7" t="str">
        <f>HYPERLINK("http://www.eatonpowersource.com/products/configure/pumps/details/02-318932-cc","02-318932-CC")</f>
        <v>02-318932-CC</v>
      </c>
      <c r="B7763" s="8" t="s">
        <v>7719</v>
      </c>
    </row>
    <row r="7764" spans="1:2" x14ac:dyDescent="0.3">
      <c r="A7764" s="5" t="str">
        <f>HYPERLINK("http://www.eatonpowersource.com/products/configure/pumps/details/02-328336-d","02-328336-D")</f>
        <v>02-328336-D</v>
      </c>
      <c r="B7764" s="6" t="s">
        <v>7720</v>
      </c>
    </row>
    <row r="7765" spans="1:2" x14ac:dyDescent="0.3">
      <c r="A7765" s="7" t="str">
        <f>HYPERLINK("http://www.eatonpowersource.com/products/configure/pumps/details/02-335000-a","02-335000-A")</f>
        <v>02-335000-A</v>
      </c>
      <c r="B7765" s="8" t="s">
        <v>7721</v>
      </c>
    </row>
    <row r="7766" spans="1:2" x14ac:dyDescent="0.3">
      <c r="A7766" s="5" t="str">
        <f>HYPERLINK("http://www.eatonpowersource.com/products/configure/pumps/details/02-347239-c","02-347239-C")</f>
        <v>02-347239-C</v>
      </c>
      <c r="B7766" s="6" t="s">
        <v>7722</v>
      </c>
    </row>
    <row r="7767" spans="1:2" x14ac:dyDescent="0.3">
      <c r="A7767" s="7" t="str">
        <f>HYPERLINK("http://www.eatonpowersource.com/products/configure/pumps/details/02-348044-c","02-348044-C")</f>
        <v>02-348044-C</v>
      </c>
      <c r="B7767" s="8" t="s">
        <v>7723</v>
      </c>
    </row>
    <row r="7768" spans="1:2" x14ac:dyDescent="0.3">
      <c r="A7768" s="5" t="str">
        <f>HYPERLINK("http://www.eatonpowersource.com/products/configure/pumps/details/039640","039640")</f>
        <v>039640</v>
      </c>
      <c r="B7768" s="6" t="s">
        <v>7724</v>
      </c>
    </row>
    <row r="7769" spans="1:2" x14ac:dyDescent="0.3">
      <c r="A7769" s="7" t="str">
        <f>HYPERLINK("http://www.eatonpowersource.com/products/configure/pumps/details/358357-a","358357-A")</f>
        <v>358357-A</v>
      </c>
      <c r="B7769" s="8" t="s">
        <v>7725</v>
      </c>
    </row>
    <row r="7770" spans="1:2" x14ac:dyDescent="0.3">
      <c r="A7770" s="5" t="str">
        <f>HYPERLINK("http://www.eatonpowersource.com/products/configure/pumps/details/358357-c","358357-C")</f>
        <v>358357-C</v>
      </c>
      <c r="B7770" s="6" t="s">
        <v>7726</v>
      </c>
    </row>
    <row r="7771" spans="1:2" x14ac:dyDescent="0.3">
      <c r="A7771" s="7" t="str">
        <f>HYPERLINK("http://www.eatonpowersource.com/products/configure/pumps/details/358358-a","358358-A")</f>
        <v>358358-A</v>
      </c>
      <c r="B7771" s="8" t="s">
        <v>7727</v>
      </c>
    </row>
    <row r="7772" spans="1:2" x14ac:dyDescent="0.3">
      <c r="A7772" s="5" t="str">
        <f>HYPERLINK("http://www.eatonpowersource.com/products/configure/pumps/details/358359-cl","358359-CL")</f>
        <v>358359-CL</v>
      </c>
      <c r="B7772" s="6" t="s">
        <v>7728</v>
      </c>
    </row>
    <row r="7773" spans="1:2" x14ac:dyDescent="0.3">
      <c r="A7773" s="7" t="str">
        <f>HYPERLINK("http://www.eatonpowersource.com/products/configure/pumps/details/372543-c","372543-C")</f>
        <v>372543-C</v>
      </c>
      <c r="B7773" s="8" t="s">
        <v>7729</v>
      </c>
    </row>
    <row r="7774" spans="1:2" x14ac:dyDescent="0.3">
      <c r="A7774" s="5" t="str">
        <f>HYPERLINK("http://www.eatonpowersource.com/products/configure/pumps/details/372552-a","372552-A")</f>
        <v>372552-A</v>
      </c>
      <c r="B7774" s="6" t="s">
        <v>7730</v>
      </c>
    </row>
    <row r="7775" spans="1:2" x14ac:dyDescent="0.3">
      <c r="A7775" s="7" t="str">
        <f>HYPERLINK("http://www.eatonpowersource.com/products/configure/pumps/details/372552-c","372552-C")</f>
        <v>372552-C</v>
      </c>
      <c r="B7775" s="8" t="s">
        <v>7731</v>
      </c>
    </row>
    <row r="7776" spans="1:2" x14ac:dyDescent="0.3">
      <c r="A7776" s="5" t="str">
        <f>HYPERLINK("http://www.eatonpowersource.com/products/configure/pumps/details/372553-c","372553-C")</f>
        <v>372553-C</v>
      </c>
      <c r="B7776" s="6" t="s">
        <v>7732</v>
      </c>
    </row>
    <row r="7777" spans="1:2" x14ac:dyDescent="0.3">
      <c r="A7777" s="7" t="str">
        <f>HYPERLINK("http://www.eatonpowersource.com/products/configure/pumps/details/372554-a","372554-A")</f>
        <v>372554-A</v>
      </c>
      <c r="B7777" s="8" t="s">
        <v>7733</v>
      </c>
    </row>
    <row r="7778" spans="1:2" x14ac:dyDescent="0.3">
      <c r="A7778" s="5" t="str">
        <f>HYPERLINK("http://www.eatonpowersource.com/products/configure/pumps/details/372554-c","372554-C")</f>
        <v>372554-C</v>
      </c>
      <c r="B7778" s="6" t="s">
        <v>7734</v>
      </c>
    </row>
    <row r="7779" spans="1:2" x14ac:dyDescent="0.3">
      <c r="A7779" s="7" t="str">
        <f>HYPERLINK("http://www.eatonpowersource.com/products/configure/pumps/details/372555-al","372555-AL")</f>
        <v>372555-AL</v>
      </c>
      <c r="B7779" s="8" t="s">
        <v>7735</v>
      </c>
    </row>
    <row r="7780" spans="1:2" x14ac:dyDescent="0.3">
      <c r="A7780" s="5" t="str">
        <f>HYPERLINK("http://www.eatonpowersource.com/products/configure/pumps/details/372555-c","372555-C")</f>
        <v>372555-C</v>
      </c>
      <c r="B7780" s="6" t="s">
        <v>7736</v>
      </c>
    </row>
    <row r="7781" spans="1:2" x14ac:dyDescent="0.3">
      <c r="A7781" s="7" t="str">
        <f>HYPERLINK("http://www.eatonpowersource.com/products/configure/pumps/details/372561-c","372561-C")</f>
        <v>372561-C</v>
      </c>
      <c r="B7781" s="8" t="s">
        <v>7737</v>
      </c>
    </row>
    <row r="7782" spans="1:2" x14ac:dyDescent="0.3">
      <c r="A7782" s="5" t="str">
        <f>HYPERLINK("http://www.eatonpowersource.com/products/configure/pumps/details/372561-cl","372561-CL")</f>
        <v>372561-CL</v>
      </c>
      <c r="B7782" s="6" t="s">
        <v>7738</v>
      </c>
    </row>
    <row r="7783" spans="1:2" x14ac:dyDescent="0.3">
      <c r="A7783" s="7" t="str">
        <f>HYPERLINK("http://www.eatonpowersource.com/products/configure/pumps/details/372564-a","372564-A")</f>
        <v>372564-A</v>
      </c>
      <c r="B7783" s="8" t="s">
        <v>7739</v>
      </c>
    </row>
    <row r="7784" spans="1:2" x14ac:dyDescent="0.3">
      <c r="A7784" s="5" t="str">
        <f>HYPERLINK("http://www.eatonpowersource.com/products/configure/pumps/details/372564-c","372564-C")</f>
        <v>372564-C</v>
      </c>
      <c r="B7784" s="6" t="s">
        <v>7740</v>
      </c>
    </row>
    <row r="7785" spans="1:2" x14ac:dyDescent="0.3">
      <c r="A7785" s="7" t="str">
        <f>HYPERLINK("http://www.eatonpowersource.com/products/configure/pumps/details/372570-c","372570-C")</f>
        <v>372570-C</v>
      </c>
      <c r="B7785" s="8" t="s">
        <v>7741</v>
      </c>
    </row>
    <row r="7786" spans="1:2" x14ac:dyDescent="0.3">
      <c r="A7786" s="5" t="str">
        <f>HYPERLINK("http://www.eatonpowersource.com/products/configure/pumps/details/372574-a","372574-A")</f>
        <v>372574-A</v>
      </c>
      <c r="B7786" s="6" t="s">
        <v>7742</v>
      </c>
    </row>
    <row r="7787" spans="1:2" x14ac:dyDescent="0.3">
      <c r="A7787" s="7" t="str">
        <f>HYPERLINK("http://www.eatonpowersource.com/products/configure/pumps/details/372574-c","372574-C")</f>
        <v>372574-C</v>
      </c>
      <c r="B7787" s="8" t="s">
        <v>7743</v>
      </c>
    </row>
    <row r="7788" spans="1:2" x14ac:dyDescent="0.3">
      <c r="A7788" s="5" t="str">
        <f>HYPERLINK("http://www.eatonpowersource.com/products/configure/pumps/details/372591-c","372591-C")</f>
        <v>372591-C</v>
      </c>
      <c r="B7788" s="6" t="s">
        <v>7744</v>
      </c>
    </row>
    <row r="7789" spans="1:2" x14ac:dyDescent="0.3">
      <c r="A7789" s="7" t="str">
        <f>HYPERLINK("http://www.eatonpowersource.com/products/configure/pumps/details/372598-c","372598-C")</f>
        <v>372598-C</v>
      </c>
      <c r="B7789" s="8" t="s">
        <v>7745</v>
      </c>
    </row>
    <row r="7790" spans="1:2" x14ac:dyDescent="0.3">
      <c r="A7790" s="5" t="str">
        <f>HYPERLINK("http://www.eatonpowersource.com/products/configure/pumps/details/372617-a","372617-A")</f>
        <v>372617-A</v>
      </c>
      <c r="B7790" s="6" t="s">
        <v>7746</v>
      </c>
    </row>
    <row r="7791" spans="1:2" x14ac:dyDescent="0.3">
      <c r="A7791" s="7" t="str">
        <f>HYPERLINK("http://www.eatonpowersource.com/products/configure/pumps/details/372617-b","372617-B")</f>
        <v>372617-B</v>
      </c>
      <c r="B7791" s="8" t="s">
        <v>7747</v>
      </c>
    </row>
    <row r="7792" spans="1:2" x14ac:dyDescent="0.3">
      <c r="A7792" s="5" t="str">
        <f>HYPERLINK("http://www.eatonpowersource.com/products/configure/pumps/details/372617-c","372617-C")</f>
        <v>372617-C</v>
      </c>
      <c r="B7792" s="6" t="s">
        <v>7748</v>
      </c>
    </row>
    <row r="7793" spans="1:2" x14ac:dyDescent="0.3">
      <c r="A7793" s="7" t="str">
        <f>HYPERLINK("http://www.eatonpowersource.com/products/configure/pumps/details/372639-a","372639-A")</f>
        <v>372639-A</v>
      </c>
      <c r="B7793" s="8" t="s">
        <v>7749</v>
      </c>
    </row>
    <row r="7794" spans="1:2" x14ac:dyDescent="0.3">
      <c r="A7794" s="5" t="str">
        <f>HYPERLINK("http://www.eatonpowersource.com/products/configure/pumps/details/372639-b","372639-B")</f>
        <v>372639-B</v>
      </c>
      <c r="B7794" s="6" t="s">
        <v>7750</v>
      </c>
    </row>
    <row r="7795" spans="1:2" x14ac:dyDescent="0.3">
      <c r="A7795" s="7" t="str">
        <f>HYPERLINK("http://www.eatonpowersource.com/products/configure/pumps/details/372639-c","372639-C")</f>
        <v>372639-C</v>
      </c>
      <c r="B7795" s="8" t="s">
        <v>7751</v>
      </c>
    </row>
    <row r="7796" spans="1:2" x14ac:dyDescent="0.3">
      <c r="A7796" s="5" t="str">
        <f>HYPERLINK("http://www.eatonpowersource.com/products/configure/pumps/details/372639-d","372639-D")</f>
        <v>372639-D</v>
      </c>
      <c r="B7796" s="6" t="s">
        <v>7752</v>
      </c>
    </row>
    <row r="7797" spans="1:2" x14ac:dyDescent="0.3">
      <c r="A7797" s="7" t="str">
        <f>HYPERLINK("http://www.eatonpowersource.com/products/configure/pumps/details/372643-c","372643-C")</f>
        <v>372643-C</v>
      </c>
      <c r="B7797" s="8" t="s">
        <v>7753</v>
      </c>
    </row>
    <row r="7798" spans="1:2" x14ac:dyDescent="0.3">
      <c r="A7798" s="5" t="str">
        <f>HYPERLINK("http://www.eatonpowersource.com/products/configure/pumps/details/373626-dl","373626-DL")</f>
        <v>373626-DL</v>
      </c>
      <c r="B7798" s="6" t="s">
        <v>7754</v>
      </c>
    </row>
    <row r="7799" spans="1:2" x14ac:dyDescent="0.3">
      <c r="A7799" s="7" t="str">
        <f>HYPERLINK("http://www.eatonpowersource.com/products/configure/pumps/details/374344-c","374344-C")</f>
        <v>374344-C</v>
      </c>
      <c r="B7799" s="8" t="s">
        <v>7755</v>
      </c>
    </row>
    <row r="7800" spans="1:2" x14ac:dyDescent="0.3">
      <c r="A7800" s="5" t="str">
        <f>HYPERLINK("http://www.eatonpowersource.com/products/configure/pumps/details/375655-a","375655-A")</f>
        <v>375655-A</v>
      </c>
      <c r="B7800" s="6" t="s">
        <v>7756</v>
      </c>
    </row>
    <row r="7801" spans="1:2" x14ac:dyDescent="0.3">
      <c r="A7801" s="7" t="str">
        <f>HYPERLINK("http://www.eatonpowersource.com/products/configure/pumps/details/375655-c","375655-C")</f>
        <v>375655-C</v>
      </c>
      <c r="B7801" s="8" t="s">
        <v>7757</v>
      </c>
    </row>
    <row r="7802" spans="1:2" x14ac:dyDescent="0.3">
      <c r="A7802" s="5" t="str">
        <f>HYPERLINK("http://www.eatonpowersource.com/products/configure/pumps/details/375655-cl","375655-CL")</f>
        <v>375655-CL</v>
      </c>
      <c r="B7802" s="6" t="s">
        <v>7758</v>
      </c>
    </row>
    <row r="7803" spans="1:2" x14ac:dyDescent="0.3">
      <c r="A7803" s="7" t="str">
        <f>HYPERLINK("http://www.eatonpowersource.com/products/configure/pumps/details/379537-d","379537-D")</f>
        <v>379537-D</v>
      </c>
      <c r="B7803" s="8" t="s">
        <v>7759</v>
      </c>
    </row>
    <row r="7804" spans="1:2" x14ac:dyDescent="0.3">
      <c r="A7804" s="5" t="str">
        <f>HYPERLINK("http://www.eatonpowersource.com/products/configure/pumps/details/382062-dl","382062-DL")</f>
        <v>382062-DL</v>
      </c>
      <c r="B7804" s="6" t="s">
        <v>7760</v>
      </c>
    </row>
    <row r="7805" spans="1:2" x14ac:dyDescent="0.3">
      <c r="A7805" s="7" t="str">
        <f>HYPERLINK("http://www.eatonpowersource.com/products/configure/pumps/details/382063-c","382063-C")</f>
        <v>382063-C</v>
      </c>
      <c r="B7805" s="8" t="s">
        <v>7761</v>
      </c>
    </row>
    <row r="7806" spans="1:2" x14ac:dyDescent="0.3">
      <c r="A7806" s="5" t="str">
        <f>HYPERLINK("http://www.eatonpowersource.com/products/configure/pumps/details/382065-d","382065-D")</f>
        <v>382065-D</v>
      </c>
      <c r="B7806" s="6" t="s">
        <v>7762</v>
      </c>
    </row>
    <row r="7807" spans="1:2" x14ac:dyDescent="0.3">
      <c r="A7807" s="7" t="str">
        <f>HYPERLINK("http://www.eatonpowersource.com/products/configure/pumps/details/382069-a","382069-A")</f>
        <v>382069-A</v>
      </c>
      <c r="B7807" s="8" t="s">
        <v>7763</v>
      </c>
    </row>
    <row r="7808" spans="1:2" x14ac:dyDescent="0.3">
      <c r="A7808" s="5" t="str">
        <f>HYPERLINK("http://www.eatonpowersource.com/products/configure/pumps/details/382071-a","382071-A")</f>
        <v>382071-A</v>
      </c>
      <c r="B7808" s="6" t="s">
        <v>7764</v>
      </c>
    </row>
    <row r="7809" spans="1:2" x14ac:dyDescent="0.3">
      <c r="A7809" s="7" t="str">
        <f>HYPERLINK("http://www.eatonpowersource.com/products/configure/pumps/details/382071-cl","382071-CL")</f>
        <v>382071-CL</v>
      </c>
      <c r="B7809" s="8" t="s">
        <v>7765</v>
      </c>
    </row>
    <row r="7810" spans="1:2" x14ac:dyDescent="0.3">
      <c r="A7810" s="5" t="str">
        <f>HYPERLINK("http://www.eatonpowersource.com/products/configure/pumps/details/382074-c","382074-C")</f>
        <v>382074-C</v>
      </c>
      <c r="B7810" s="6" t="s">
        <v>7766</v>
      </c>
    </row>
    <row r="7811" spans="1:2" x14ac:dyDescent="0.3">
      <c r="A7811" s="7" t="str">
        <f>HYPERLINK("http://www.eatonpowersource.com/products/configure/pumps/details/382075-a","382075-A")</f>
        <v>382075-A</v>
      </c>
      <c r="B7811" s="8" t="s">
        <v>7767</v>
      </c>
    </row>
    <row r="7812" spans="1:2" x14ac:dyDescent="0.3">
      <c r="A7812" s="5" t="str">
        <f>HYPERLINK("http://www.eatonpowersource.com/products/configure/pumps/details/382075-c","382075-C")</f>
        <v>382075-C</v>
      </c>
      <c r="B7812" s="6" t="s">
        <v>7768</v>
      </c>
    </row>
    <row r="7813" spans="1:2" x14ac:dyDescent="0.3">
      <c r="A7813" s="7" t="str">
        <f>HYPERLINK("http://www.eatonpowersource.com/products/configure/pumps/details/382076-a","382076-A")</f>
        <v>382076-A</v>
      </c>
      <c r="B7813" s="8" t="s">
        <v>7769</v>
      </c>
    </row>
    <row r="7814" spans="1:2" x14ac:dyDescent="0.3">
      <c r="A7814" s="5" t="str">
        <f>HYPERLINK("http://www.eatonpowersource.com/products/configure/pumps/details/382076-cl","382076-CL")</f>
        <v>382076-CL</v>
      </c>
      <c r="B7814" s="6" t="s">
        <v>7770</v>
      </c>
    </row>
    <row r="7815" spans="1:2" x14ac:dyDescent="0.3">
      <c r="A7815" s="7" t="str">
        <f>HYPERLINK("http://www.eatonpowersource.com/products/configure/pumps/details/382077-a","382077-A")</f>
        <v>382077-A</v>
      </c>
      <c r="B7815" s="8" t="s">
        <v>7771</v>
      </c>
    </row>
    <row r="7816" spans="1:2" x14ac:dyDescent="0.3">
      <c r="A7816" s="5" t="str">
        <f>HYPERLINK("http://www.eatonpowersource.com/products/configure/pumps/details/382077-b","382077-B")</f>
        <v>382077-B</v>
      </c>
      <c r="B7816" s="6" t="s">
        <v>7772</v>
      </c>
    </row>
    <row r="7817" spans="1:2" x14ac:dyDescent="0.3">
      <c r="A7817" s="7" t="str">
        <f>HYPERLINK("http://www.eatonpowersource.com/products/configure/pumps/details/382077-bl","382077-BL")</f>
        <v>382077-BL</v>
      </c>
      <c r="B7817" s="8" t="s">
        <v>7773</v>
      </c>
    </row>
    <row r="7818" spans="1:2" x14ac:dyDescent="0.3">
      <c r="A7818" s="5" t="str">
        <f>HYPERLINK("http://www.eatonpowersource.com/products/configure/pumps/details/382077-c","382077-C")</f>
        <v>382077-C</v>
      </c>
      <c r="B7818" s="6" t="s">
        <v>7774</v>
      </c>
    </row>
    <row r="7819" spans="1:2" x14ac:dyDescent="0.3">
      <c r="A7819" s="7" t="str">
        <f>HYPERLINK("http://www.eatonpowersource.com/products/configure/pumps/details/382077-d","382077-D")</f>
        <v>382077-D</v>
      </c>
      <c r="B7819" s="8" t="s">
        <v>7775</v>
      </c>
    </row>
    <row r="7820" spans="1:2" x14ac:dyDescent="0.3">
      <c r="A7820" s="5" t="str">
        <f>HYPERLINK("http://www.eatonpowersource.com/products/configure/pumps/details/382080-cl","382080-CL")</f>
        <v>382080-CL</v>
      </c>
      <c r="B7820" s="6" t="s">
        <v>7776</v>
      </c>
    </row>
    <row r="7821" spans="1:2" x14ac:dyDescent="0.3">
      <c r="A7821" s="7" t="str">
        <f>HYPERLINK("http://www.eatonpowersource.com/products/configure/pumps/details/382081-c","382081-C")</f>
        <v>382081-C</v>
      </c>
      <c r="B7821" s="8" t="s">
        <v>7777</v>
      </c>
    </row>
    <row r="7822" spans="1:2" x14ac:dyDescent="0.3">
      <c r="A7822" s="5" t="str">
        <f>HYPERLINK("http://www.eatonpowersource.com/products/configure/pumps/details/382082-a","382082-A")</f>
        <v>382082-A</v>
      </c>
      <c r="B7822" s="6" t="s">
        <v>7778</v>
      </c>
    </row>
    <row r="7823" spans="1:2" x14ac:dyDescent="0.3">
      <c r="A7823" s="7" t="str">
        <f>HYPERLINK("http://www.eatonpowersource.com/products/configure/pumps/details/382082-b","382082-B")</f>
        <v>382082-B</v>
      </c>
      <c r="B7823" s="8" t="s">
        <v>7779</v>
      </c>
    </row>
    <row r="7824" spans="1:2" x14ac:dyDescent="0.3">
      <c r="A7824" s="5" t="str">
        <f>HYPERLINK("http://www.eatonpowersource.com/products/configure/pumps/details/382082-c","382082-C")</f>
        <v>382082-C</v>
      </c>
      <c r="B7824" s="6" t="s">
        <v>7780</v>
      </c>
    </row>
    <row r="7825" spans="1:2" x14ac:dyDescent="0.3">
      <c r="A7825" s="7" t="str">
        <f>HYPERLINK("http://www.eatonpowersource.com/products/configure/pumps/details/382082-d","382082-D")</f>
        <v>382082-D</v>
      </c>
      <c r="B7825" s="8" t="s">
        <v>7781</v>
      </c>
    </row>
    <row r="7826" spans="1:2" x14ac:dyDescent="0.3">
      <c r="A7826" s="5" t="str">
        <f>HYPERLINK("http://www.eatonpowersource.com/products/configure/pumps/details/382083-c","382083-C")</f>
        <v>382083-C</v>
      </c>
      <c r="B7826" s="6" t="s">
        <v>7782</v>
      </c>
    </row>
    <row r="7827" spans="1:2" x14ac:dyDescent="0.3">
      <c r="A7827" s="7" t="str">
        <f>HYPERLINK("http://www.eatonpowersource.com/products/configure/pumps/details/382084-a","382084-A")</f>
        <v>382084-A</v>
      </c>
      <c r="B7827" s="8" t="s">
        <v>7783</v>
      </c>
    </row>
    <row r="7828" spans="1:2" x14ac:dyDescent="0.3">
      <c r="A7828" s="5" t="str">
        <f>HYPERLINK("http://www.eatonpowersource.com/products/configure/pumps/details/382084-c","382084-C")</f>
        <v>382084-C</v>
      </c>
      <c r="B7828" s="6" t="s">
        <v>7784</v>
      </c>
    </row>
    <row r="7829" spans="1:2" x14ac:dyDescent="0.3">
      <c r="A7829" s="7" t="str">
        <f>HYPERLINK("http://www.eatonpowersource.com/products/configure/pumps/details/382084-cl","382084-CL")</f>
        <v>382084-CL</v>
      </c>
      <c r="B7829" s="8" t="s">
        <v>7785</v>
      </c>
    </row>
    <row r="7830" spans="1:2" x14ac:dyDescent="0.3">
      <c r="A7830" s="5" t="str">
        <f>HYPERLINK("http://www.eatonpowersource.com/products/configure/pumps/details/382086-c","382086-C")</f>
        <v>382086-C</v>
      </c>
      <c r="B7830" s="6" t="s">
        <v>7786</v>
      </c>
    </row>
    <row r="7831" spans="1:2" x14ac:dyDescent="0.3">
      <c r="A7831" s="7" t="str">
        <f>HYPERLINK("http://www.eatonpowersource.com/products/configure/pumps/details/382087-c","382087-C")</f>
        <v>382087-C</v>
      </c>
      <c r="B7831" s="8" t="s">
        <v>7787</v>
      </c>
    </row>
    <row r="7832" spans="1:2" x14ac:dyDescent="0.3">
      <c r="A7832" s="5" t="str">
        <f>HYPERLINK("http://www.eatonpowersource.com/products/configure/pumps/details/382088-cl","382088-CL")</f>
        <v>382088-CL</v>
      </c>
      <c r="B7832" s="6" t="s">
        <v>7788</v>
      </c>
    </row>
    <row r="7833" spans="1:2" x14ac:dyDescent="0.3">
      <c r="A7833" s="7" t="str">
        <f>HYPERLINK("http://www.eatonpowersource.com/products/configure/pumps/details/382245-cl","382245-CL")</f>
        <v>382245-CL</v>
      </c>
      <c r="B7833" s="8" t="s">
        <v>7789</v>
      </c>
    </row>
    <row r="7834" spans="1:2" x14ac:dyDescent="0.3">
      <c r="A7834" s="5" t="str">
        <f>HYPERLINK("http://www.eatonpowersource.com/products/configure/pumps/details/383520-c","383520-C")</f>
        <v>383520-C</v>
      </c>
      <c r="B7834" s="6" t="s">
        <v>7790</v>
      </c>
    </row>
    <row r="7835" spans="1:2" x14ac:dyDescent="0.3">
      <c r="A7835" s="7" t="str">
        <f>HYPERLINK("http://www.eatonpowersource.com/products/configure/pumps/details/385898-r","385898-R")</f>
        <v>385898-R</v>
      </c>
      <c r="B7835" s="8" t="s">
        <v>7791</v>
      </c>
    </row>
    <row r="7836" spans="1:2" x14ac:dyDescent="0.3">
      <c r="A7836" s="5" t="str">
        <f>HYPERLINK("http://www.eatonpowersource.com/products/configure/pumps/details/385904-r","385904-R")</f>
        <v>385904-R</v>
      </c>
      <c r="B7836" s="6" t="s">
        <v>7792</v>
      </c>
    </row>
    <row r="7837" spans="1:2" x14ac:dyDescent="0.3">
      <c r="A7837" s="7" t="str">
        <f>HYPERLINK("http://www.eatonpowersource.com/products/configure/pumps/details/385909-r","385909-R")</f>
        <v>385909-R</v>
      </c>
      <c r="B7837" s="8" t="s">
        <v>7793</v>
      </c>
    </row>
    <row r="7838" spans="1:2" x14ac:dyDescent="0.3">
      <c r="A7838" s="5" t="str">
        <f>HYPERLINK("http://www.eatonpowersource.com/products/configure/pumps/details/385927-r","385927-R")</f>
        <v>385927-R</v>
      </c>
      <c r="B7838" s="6" t="s">
        <v>7794</v>
      </c>
    </row>
    <row r="7839" spans="1:2" x14ac:dyDescent="0.3">
      <c r="A7839" s="7" t="str">
        <f>HYPERLINK("http://www.eatonpowersource.com/products/configure/pumps/details/385932-r","385932-R")</f>
        <v>385932-R</v>
      </c>
      <c r="B7839" s="8" t="s">
        <v>7795</v>
      </c>
    </row>
    <row r="7840" spans="1:2" x14ac:dyDescent="0.3">
      <c r="A7840" s="5" t="str">
        <f>HYPERLINK("http://www.eatonpowersource.com/products/configure/pumps/details/385962-r","385962-R")</f>
        <v>385962-R</v>
      </c>
      <c r="B7840" s="6" t="s">
        <v>7796</v>
      </c>
    </row>
    <row r="7841" spans="1:2" x14ac:dyDescent="0.3">
      <c r="A7841" s="7" t="str">
        <f>HYPERLINK("http://www.eatonpowersource.com/products/configure/pumps/details/385971-r","385971-R")</f>
        <v>385971-R</v>
      </c>
      <c r="B7841" s="8" t="s">
        <v>7797</v>
      </c>
    </row>
    <row r="7842" spans="1:2" x14ac:dyDescent="0.3">
      <c r="A7842" s="5" t="str">
        <f>HYPERLINK("http://www.eatonpowersource.com/products/configure/pumps/details/388276-c","388276-C")</f>
        <v>388276-C</v>
      </c>
      <c r="B7842" s="6" t="s">
        <v>7798</v>
      </c>
    </row>
    <row r="7843" spans="1:2" x14ac:dyDescent="0.3">
      <c r="A7843" s="7" t="str">
        <f>HYPERLINK("http://www.eatonpowersource.com/products/configure/pumps/details/388793-r","388793-R")</f>
        <v>388793-R</v>
      </c>
      <c r="B7843" s="8" t="s">
        <v>7799</v>
      </c>
    </row>
    <row r="7844" spans="1:2" x14ac:dyDescent="0.3">
      <c r="A7844" s="5" t="str">
        <f>HYPERLINK("http://www.eatonpowersource.com/products/configure/pumps/details/388815-l","388815-L")</f>
        <v>388815-L</v>
      </c>
      <c r="B7844" s="6" t="s">
        <v>7800</v>
      </c>
    </row>
    <row r="7845" spans="1:2" x14ac:dyDescent="0.3">
      <c r="A7845" s="7" t="str">
        <f>HYPERLINK("http://www.eatonpowersource.com/products/configure/pumps/details/388815-r","388815-R")</f>
        <v>388815-R</v>
      </c>
      <c r="B7845" s="8" t="s">
        <v>7801</v>
      </c>
    </row>
    <row r="7846" spans="1:2" x14ac:dyDescent="0.3">
      <c r="A7846" s="5" t="str">
        <f>HYPERLINK("http://www.eatonpowersource.com/products/configure/pumps/details/388919-r","388919-R")</f>
        <v>388919-R</v>
      </c>
      <c r="B7846" s="6" t="s">
        <v>7802</v>
      </c>
    </row>
    <row r="7847" spans="1:2" x14ac:dyDescent="0.3">
      <c r="A7847" s="7" t="str">
        <f>HYPERLINK("http://www.eatonpowersource.com/products/configure/pumps/details/388927-r","388927-R")</f>
        <v>388927-R</v>
      </c>
      <c r="B7847" s="8" t="s">
        <v>7803</v>
      </c>
    </row>
    <row r="7848" spans="1:2" x14ac:dyDescent="0.3">
      <c r="A7848" s="5" t="str">
        <f>HYPERLINK("http://www.eatonpowersource.com/products/configure/pumps/details/389410-r","389410-R")</f>
        <v>389410-R</v>
      </c>
      <c r="B7848" s="6" t="s">
        <v>7804</v>
      </c>
    </row>
    <row r="7849" spans="1:2" x14ac:dyDescent="0.3">
      <c r="A7849" s="7" t="str">
        <f>HYPERLINK("http://www.eatonpowersource.com/products/configure/pumps/details/390099-a","390099-A")</f>
        <v>390099-A</v>
      </c>
      <c r="B7849" s="8" t="s">
        <v>7805</v>
      </c>
    </row>
    <row r="7850" spans="1:2" x14ac:dyDescent="0.3">
      <c r="A7850" s="5" t="str">
        <f>HYPERLINK("http://www.eatonpowersource.com/products/configure/pumps/details/390718-a","390718-A")</f>
        <v>390718-A</v>
      </c>
      <c r="B7850" s="6" t="s">
        <v>7806</v>
      </c>
    </row>
    <row r="7851" spans="1:2" x14ac:dyDescent="0.3">
      <c r="A7851" s="7" t="str">
        <f>HYPERLINK("http://www.eatonpowersource.com/products/configure/pumps/details/393723-c","393723-C")</f>
        <v>393723-C</v>
      </c>
      <c r="B7851" s="8" t="s">
        <v>7807</v>
      </c>
    </row>
    <row r="7852" spans="1:2" x14ac:dyDescent="0.3">
      <c r="A7852" s="5" t="str">
        <f>HYPERLINK("http://www.eatonpowersource.com/products/configure/pumps/details/394993-r","394993-R")</f>
        <v>394993-R</v>
      </c>
      <c r="B7852" s="6" t="s">
        <v>7808</v>
      </c>
    </row>
    <row r="7853" spans="1:2" x14ac:dyDescent="0.3">
      <c r="A7853" s="7" t="str">
        <f>HYPERLINK("http://www.eatonpowersource.com/products/configure/pumps/details/395018-r","395018-R")</f>
        <v>395018-R</v>
      </c>
      <c r="B7853" s="8" t="s">
        <v>7809</v>
      </c>
    </row>
    <row r="7854" spans="1:2" x14ac:dyDescent="0.3">
      <c r="A7854" s="5" t="str">
        <f>HYPERLINK("http://www.eatonpowersource.com/products/configure/pumps/details/395596-a","395596-A")</f>
        <v>395596-A</v>
      </c>
      <c r="B7854" s="6" t="s">
        <v>7810</v>
      </c>
    </row>
    <row r="7855" spans="1:2" x14ac:dyDescent="0.3">
      <c r="A7855" s="7" t="str">
        <f>HYPERLINK("http://www.eatonpowersource.com/products/configure/pumps/details/395613-cl","395613-CL")</f>
        <v>395613-CL</v>
      </c>
      <c r="B7855" s="8" t="s">
        <v>7811</v>
      </c>
    </row>
    <row r="7856" spans="1:2" x14ac:dyDescent="0.3">
      <c r="A7856" s="5" t="str">
        <f>HYPERLINK("http://www.eatonpowersource.com/products/configure/pumps/details/396504-a","396504-A")</f>
        <v>396504-A</v>
      </c>
      <c r="B7856" s="6" t="s">
        <v>7812</v>
      </c>
    </row>
    <row r="7857" spans="1:2" x14ac:dyDescent="0.3">
      <c r="A7857" s="7" t="str">
        <f>HYPERLINK("http://www.eatonpowersource.com/products/configure/pumps/details/396504-cl","396504-CL")</f>
        <v>396504-CL</v>
      </c>
      <c r="B7857" s="8" t="s">
        <v>7813</v>
      </c>
    </row>
    <row r="7858" spans="1:2" x14ac:dyDescent="0.3">
      <c r="A7858" s="5" t="str">
        <f>HYPERLINK("http://www.eatonpowersource.com/products/configure/pumps/details/398793-r","398793-R")</f>
        <v>398793-R</v>
      </c>
      <c r="B7858" s="6" t="s">
        <v>7814</v>
      </c>
    </row>
    <row r="7859" spans="1:2" x14ac:dyDescent="0.3">
      <c r="A7859" s="7" t="str">
        <f>HYPERLINK("http://www.eatonpowersource.com/products/configure/pumps/details/399722-c","399722-C")</f>
        <v>399722-C</v>
      </c>
      <c r="B7859" s="8" t="s">
        <v>7815</v>
      </c>
    </row>
    <row r="7860" spans="1:2" x14ac:dyDescent="0.3">
      <c r="A7860" s="5" t="str">
        <f>HYPERLINK("http://www.eatonpowersource.com/products/configure/pumps/details/402260-l","402260-L")</f>
        <v>402260-L</v>
      </c>
      <c r="B7860" s="6" t="s">
        <v>7816</v>
      </c>
    </row>
    <row r="7861" spans="1:2" x14ac:dyDescent="0.3">
      <c r="A7861" s="7" t="str">
        <f>HYPERLINK("http://www.eatonpowersource.com/products/configure/pumps/details/404436-r","404436-R")</f>
        <v>404436-R</v>
      </c>
      <c r="B7861" s="8" t="s">
        <v>7817</v>
      </c>
    </row>
    <row r="7862" spans="1:2" x14ac:dyDescent="0.3">
      <c r="A7862" s="5" t="str">
        <f>HYPERLINK("http://www.eatonpowersource.com/products/configure/pumps/details/404447-r","404447-R")</f>
        <v>404447-R</v>
      </c>
      <c r="B7862" s="6" t="s">
        <v>7818</v>
      </c>
    </row>
    <row r="7863" spans="1:2" x14ac:dyDescent="0.3">
      <c r="A7863" s="7" t="str">
        <f>HYPERLINK("http://www.eatonpowersource.com/products/configure/pumps/details/406339-r","406339-R")</f>
        <v>406339-R</v>
      </c>
      <c r="B7863" s="8" t="s">
        <v>7819</v>
      </c>
    </row>
    <row r="7864" spans="1:2" x14ac:dyDescent="0.3">
      <c r="A7864" s="5" t="str">
        <f>HYPERLINK("http://www.eatonpowersource.com/products/configure/pumps/details/413646-r","413646-R")</f>
        <v>413646-R</v>
      </c>
      <c r="B7864" s="6" t="s">
        <v>7820</v>
      </c>
    </row>
    <row r="7865" spans="1:2" x14ac:dyDescent="0.3">
      <c r="A7865" s="7" t="str">
        <f>HYPERLINK("http://www.eatonpowersource.com/products/configure/pumps/details/413658-r","413658-R")</f>
        <v>413658-R</v>
      </c>
      <c r="B7865" s="8" t="s">
        <v>7821</v>
      </c>
    </row>
    <row r="7866" spans="1:2" x14ac:dyDescent="0.3">
      <c r="A7866" s="5" t="str">
        <f>HYPERLINK("http://www.eatonpowersource.com/products/configure/pumps/details/413686-r","413686-R")</f>
        <v>413686-R</v>
      </c>
      <c r="B7866" s="6" t="s">
        <v>7822</v>
      </c>
    </row>
    <row r="7867" spans="1:2" x14ac:dyDescent="0.3">
      <c r="A7867" s="7" t="str">
        <f>HYPERLINK("http://www.eatonpowersource.com/products/configure/pumps/details/413727-r","413727-R")</f>
        <v>413727-R</v>
      </c>
      <c r="B7867" s="8" t="s">
        <v>7823</v>
      </c>
    </row>
    <row r="7868" spans="1:2" x14ac:dyDescent="0.3">
      <c r="A7868" s="5" t="str">
        <f>HYPERLINK("http://www.eatonpowersource.com/products/configure/pumps/details/420705-r","420705-R")</f>
        <v>420705-R</v>
      </c>
      <c r="B7868" s="6" t="s">
        <v>7824</v>
      </c>
    </row>
    <row r="7869" spans="1:2" x14ac:dyDescent="0.3">
      <c r="A7869" s="7" t="str">
        <f>HYPERLINK("http://www.eatonpowersource.com/products/configure/pumps/details/420740-r","420740-R")</f>
        <v>420740-R</v>
      </c>
      <c r="B7869" s="8" t="s">
        <v>7825</v>
      </c>
    </row>
    <row r="7870" spans="1:2" x14ac:dyDescent="0.3">
      <c r="A7870" s="5" t="str">
        <f>HYPERLINK("http://www.eatonpowersource.com/products/configure/pumps/details/423800-c","423800-C")</f>
        <v>423800-C</v>
      </c>
      <c r="B7870" s="6" t="s">
        <v>7826</v>
      </c>
    </row>
    <row r="7871" spans="1:2" x14ac:dyDescent="0.3">
      <c r="A7871" s="7" t="str">
        <f>HYPERLINK("http://www.eatonpowersource.com/products/configure/pumps/details/425367-cl","425367-CL")</f>
        <v>425367-CL</v>
      </c>
      <c r="B7871" s="8" t="s">
        <v>7827</v>
      </c>
    </row>
    <row r="7872" spans="1:2" x14ac:dyDescent="0.3">
      <c r="A7872" s="5" t="str">
        <f>HYPERLINK("http://www.eatonpowersource.com/products/configure/pumps/details/426010-l","426010-L")</f>
        <v>426010-L</v>
      </c>
      <c r="B7872" s="6" t="s">
        <v>7828</v>
      </c>
    </row>
    <row r="7873" spans="1:2" x14ac:dyDescent="0.3">
      <c r="A7873" s="7" t="str">
        <f>HYPERLINK("http://www.eatonpowersource.com/products/configure/pumps/details/426010-r","426010-R")</f>
        <v>426010-R</v>
      </c>
      <c r="B7873" s="8" t="s">
        <v>7829</v>
      </c>
    </row>
    <row r="7874" spans="1:2" x14ac:dyDescent="0.3">
      <c r="A7874" s="5" t="str">
        <f>HYPERLINK("http://www.eatonpowersource.com/products/configure/pumps/details/426011-r","426011-R")</f>
        <v>426011-R</v>
      </c>
      <c r="B7874" s="6" t="s">
        <v>7830</v>
      </c>
    </row>
    <row r="7875" spans="1:2" x14ac:dyDescent="0.3">
      <c r="A7875" s="7" t="str">
        <f>HYPERLINK("http://www.eatonpowersource.com/products/configure/pumps/details/426022-r","426022-R")</f>
        <v>426022-R</v>
      </c>
      <c r="B7875" s="8" t="s">
        <v>7831</v>
      </c>
    </row>
    <row r="7876" spans="1:2" x14ac:dyDescent="0.3">
      <c r="A7876" s="5" t="str">
        <f>HYPERLINK("http://www.eatonpowersource.com/products/configure/pumps/details/426090-r","426090-R")</f>
        <v>426090-R</v>
      </c>
      <c r="B7876" s="6" t="s">
        <v>7832</v>
      </c>
    </row>
    <row r="7877" spans="1:2" x14ac:dyDescent="0.3">
      <c r="A7877" s="7" t="str">
        <f>HYPERLINK("http://www.eatonpowersource.com/products/configure/pumps/details/428669-a","428669-A")</f>
        <v>428669-A</v>
      </c>
      <c r="B7877" s="8" t="s">
        <v>7833</v>
      </c>
    </row>
    <row r="7878" spans="1:2" x14ac:dyDescent="0.3">
      <c r="A7878" s="5" t="str">
        <f>HYPERLINK("http://www.eatonpowersource.com/products/configure/pumps/details/429081-c","429081-C")</f>
        <v>429081-C</v>
      </c>
      <c r="B7878" s="6" t="s">
        <v>7834</v>
      </c>
    </row>
    <row r="7879" spans="1:2" x14ac:dyDescent="0.3">
      <c r="A7879" s="7" t="str">
        <f>HYPERLINK("http://www.eatonpowersource.com/products/configure/pumps/details/430562-c","430562-C")</f>
        <v>430562-C</v>
      </c>
      <c r="B7879" s="8" t="s">
        <v>7835</v>
      </c>
    </row>
    <row r="7880" spans="1:2" x14ac:dyDescent="0.3">
      <c r="A7880" s="5" t="str">
        <f>HYPERLINK("http://www.eatonpowersource.com/products/configure/pumps/details/431231-r","431231-R")</f>
        <v>431231-R</v>
      </c>
      <c r="B7880" s="6" t="s">
        <v>7836</v>
      </c>
    </row>
    <row r="7881" spans="1:2" x14ac:dyDescent="0.3">
      <c r="A7881" s="7" t="str">
        <f>HYPERLINK("http://www.eatonpowersource.com/products/configure/pumps/details/431328-r","431328-R")</f>
        <v>431328-R</v>
      </c>
      <c r="B7881" s="8" t="s">
        <v>7837</v>
      </c>
    </row>
    <row r="7882" spans="1:2" x14ac:dyDescent="0.3">
      <c r="A7882" s="5" t="str">
        <f>HYPERLINK("http://www.eatonpowersource.com/products/configure/pumps/details/431353-r","431353-R")</f>
        <v>431353-R</v>
      </c>
      <c r="B7882" s="6" t="s">
        <v>7838</v>
      </c>
    </row>
    <row r="7883" spans="1:2" x14ac:dyDescent="0.3">
      <c r="A7883" s="7" t="str">
        <f>HYPERLINK("http://www.eatonpowersource.com/products/configure/pumps/details/431366-r","431366-R")</f>
        <v>431366-R</v>
      </c>
      <c r="B7883" s="8" t="s">
        <v>7839</v>
      </c>
    </row>
    <row r="7884" spans="1:2" x14ac:dyDescent="0.3">
      <c r="A7884" s="5" t="str">
        <f>HYPERLINK("http://www.eatonpowersource.com/products/configure/pumps/details/456137-c","456137-C")</f>
        <v>456137-C</v>
      </c>
      <c r="B7884" s="6" t="s">
        <v>7840</v>
      </c>
    </row>
    <row r="7885" spans="1:2" x14ac:dyDescent="0.3">
      <c r="A7885" s="7" t="str">
        <f>HYPERLINK("http://www.eatonpowersource.com/products/configure/pumps/details/461381-a","461381-A")</f>
        <v>461381-A</v>
      </c>
      <c r="B7885" s="8" t="s">
        <v>7841</v>
      </c>
    </row>
    <row r="7886" spans="1:2" x14ac:dyDescent="0.3">
      <c r="A7886" s="5" t="str">
        <f>HYPERLINK("http://www.eatonpowersource.com/products/configure/pumps/details/461593-c","461593-C")</f>
        <v>461593-C</v>
      </c>
      <c r="B7886" s="6" t="s">
        <v>7842</v>
      </c>
    </row>
    <row r="7887" spans="1:2" x14ac:dyDescent="0.3">
      <c r="A7887" s="7" t="str">
        <f>HYPERLINK("http://www.eatonpowersource.com/products/configure/pumps/details/464607-c","464607-C")</f>
        <v>464607-C</v>
      </c>
      <c r="B7887" s="8" t="s">
        <v>7843</v>
      </c>
    </row>
    <row r="7888" spans="1:2" x14ac:dyDescent="0.3">
      <c r="A7888" s="5" t="str">
        <f>HYPERLINK("http://www.eatonpowersource.com/products/configure/pumps/details/464815-c","464815-C")</f>
        <v>464815-C</v>
      </c>
      <c r="B7888" s="6" t="s">
        <v>7844</v>
      </c>
    </row>
    <row r="7889" spans="1:2" x14ac:dyDescent="0.3">
      <c r="A7889" s="7" t="str">
        <f>HYPERLINK("http://www.eatonpowersource.com/products/configure/pumps/details/467320-c","467320-C")</f>
        <v>467320-C</v>
      </c>
      <c r="B7889" s="8" t="s">
        <v>7845</v>
      </c>
    </row>
    <row r="7890" spans="1:2" x14ac:dyDescent="0.3">
      <c r="A7890" s="5" t="str">
        <f>HYPERLINK("http://www.eatonpowersource.com/products/configure/pumps/details/502249-c","502249-C")</f>
        <v>502249-C</v>
      </c>
      <c r="B7890" s="6" t="s">
        <v>7846</v>
      </c>
    </row>
    <row r="7891" spans="1:2" x14ac:dyDescent="0.3">
      <c r="A7891" s="7" t="str">
        <f>HYPERLINK("http://www.eatonpowersource.com/products/configure/pumps/details/502625-r","502625-R")</f>
        <v>502625-R</v>
      </c>
      <c r="B7891" s="8" t="s">
        <v>7847</v>
      </c>
    </row>
    <row r="7892" spans="1:2" x14ac:dyDescent="0.3">
      <c r="A7892" s="5" t="str">
        <f>HYPERLINK("http://www.eatonpowersource.com/products/configure/pumps/details/502957-l","502957-L")</f>
        <v>502957-L</v>
      </c>
      <c r="B7892" s="6" t="s">
        <v>7848</v>
      </c>
    </row>
    <row r="7893" spans="1:2" x14ac:dyDescent="0.3">
      <c r="A7893" s="7" t="str">
        <f>HYPERLINK("http://www.eatonpowersource.com/products/configure/pumps/details/572097-cl","572097-CL")</f>
        <v>572097-CL</v>
      </c>
      <c r="B7893" s="8" t="s">
        <v>7849</v>
      </c>
    </row>
    <row r="7894" spans="1:2" x14ac:dyDescent="0.3">
      <c r="A7894" s="5" t="str">
        <f>HYPERLINK("http://www.eatonpowersource.com/products/configure/pumps/details/574342-r","574342-R")</f>
        <v>574342-R</v>
      </c>
      <c r="B7894" s="6" t="s">
        <v>7850</v>
      </c>
    </row>
    <row r="7895" spans="1:2" x14ac:dyDescent="0.3">
      <c r="A7895" s="7" t="str">
        <f>HYPERLINK("http://www.eatonpowersource.com/products/configure/pumps/details/586405-c","586405-C")</f>
        <v>586405-C</v>
      </c>
      <c r="B7895" s="8" t="s">
        <v>7851</v>
      </c>
    </row>
    <row r="7896" spans="1:2" x14ac:dyDescent="0.3">
      <c r="A7896" s="5" t="str">
        <f>HYPERLINK("http://www.eatonpowersource.com/products/configure/pumps/details/586405-d","586405-D")</f>
        <v>586405-D</v>
      </c>
      <c r="B7896" s="6" t="s">
        <v>7852</v>
      </c>
    </row>
    <row r="7897" spans="1:2" x14ac:dyDescent="0.3">
      <c r="A7897" s="7" t="str">
        <f>HYPERLINK("http://www.eatonpowersource.com/products/configure/pumps/details/591058-c","591058-C")</f>
        <v>591058-C</v>
      </c>
      <c r="B7897" s="8" t="s">
        <v>7853</v>
      </c>
    </row>
    <row r="7898" spans="1:2" x14ac:dyDescent="0.3">
      <c r="A7898" s="5" t="str">
        <f>HYPERLINK("http://www.eatonpowersource.com/products/configure/pumps/details/591059-a","591059-A")</f>
        <v>591059-A</v>
      </c>
      <c r="B7898" s="6" t="s">
        <v>7854</v>
      </c>
    </row>
    <row r="7899" spans="1:2" x14ac:dyDescent="0.3">
      <c r="A7899" s="7" t="str">
        <f>HYPERLINK("http://www.eatonpowersource.com/products/configure/pumps/details/706996-a","706996-A")</f>
        <v>706996-A</v>
      </c>
      <c r="B7899" s="8" t="s">
        <v>7855</v>
      </c>
    </row>
    <row r="7900" spans="1:2" x14ac:dyDescent="0.3">
      <c r="A7900" s="5" t="str">
        <f>HYPERLINK("http://www.eatonpowersource.com/products/configure/pumps/details/706996-al","706996-AL")</f>
        <v>706996-AL</v>
      </c>
      <c r="B7900" s="6" t="s">
        <v>7856</v>
      </c>
    </row>
    <row r="7901" spans="1:2" x14ac:dyDescent="0.3">
      <c r="A7901" s="7" t="str">
        <f>HYPERLINK("http://www.eatonpowersource.com/products/configure/pumps/details/706996-b","706996-B")</f>
        <v>706996-B</v>
      </c>
      <c r="B7901" s="8" t="s">
        <v>7857</v>
      </c>
    </row>
    <row r="7902" spans="1:2" x14ac:dyDescent="0.3">
      <c r="A7902" s="5" t="str">
        <f>HYPERLINK("http://www.eatonpowersource.com/products/configure/pumps/details/706996-c","706996-C")</f>
        <v>706996-C</v>
      </c>
      <c r="B7902" s="6" t="s">
        <v>7858</v>
      </c>
    </row>
    <row r="7903" spans="1:2" x14ac:dyDescent="0.3">
      <c r="A7903" s="7" t="str">
        <f>HYPERLINK("http://www.eatonpowersource.com/products/configure/pumps/details/706996-d","706996-D")</f>
        <v>706996-D</v>
      </c>
      <c r="B7903" s="8" t="s">
        <v>7859</v>
      </c>
    </row>
    <row r="7904" spans="1:2" x14ac:dyDescent="0.3">
      <c r="A7904" s="5" t="str">
        <f>HYPERLINK("http://www.eatonpowersource.com/products/configure/pumps/details/706997-a","706997-A")</f>
        <v>706997-A</v>
      </c>
      <c r="B7904" s="6" t="s">
        <v>7860</v>
      </c>
    </row>
    <row r="7905" spans="1:2" x14ac:dyDescent="0.3">
      <c r="A7905" s="7" t="str">
        <f>HYPERLINK("http://www.eatonpowersource.com/products/configure/pumps/details/706997-al","706997-AL")</f>
        <v>706997-AL</v>
      </c>
      <c r="B7905" s="8" t="s">
        <v>7861</v>
      </c>
    </row>
    <row r="7906" spans="1:2" x14ac:dyDescent="0.3">
      <c r="A7906" s="5" t="str">
        <f>HYPERLINK("http://www.eatonpowersource.com/products/configure/pumps/details/706997-b","706997-B")</f>
        <v>706997-B</v>
      </c>
      <c r="B7906" s="6" t="s">
        <v>7862</v>
      </c>
    </row>
    <row r="7907" spans="1:2" x14ac:dyDescent="0.3">
      <c r="A7907" s="7" t="str">
        <f>HYPERLINK("http://www.eatonpowersource.com/products/configure/pumps/details/706997-bl","706997-BL")</f>
        <v>706997-BL</v>
      </c>
      <c r="B7907" s="8" t="s">
        <v>7863</v>
      </c>
    </row>
    <row r="7908" spans="1:2" x14ac:dyDescent="0.3">
      <c r="A7908" s="5" t="str">
        <f>HYPERLINK("http://www.eatonpowersource.com/products/configure/pumps/details/706997-c","706997-C")</f>
        <v>706997-C</v>
      </c>
      <c r="B7908" s="6" t="s">
        <v>7864</v>
      </c>
    </row>
    <row r="7909" spans="1:2" x14ac:dyDescent="0.3">
      <c r="A7909" s="7" t="str">
        <f>HYPERLINK("http://www.eatonpowersource.com/products/configure/pumps/details/706998-a","706998-A")</f>
        <v>706998-A</v>
      </c>
      <c r="B7909" s="8" t="s">
        <v>7865</v>
      </c>
    </row>
    <row r="7910" spans="1:2" x14ac:dyDescent="0.3">
      <c r="A7910" s="5" t="str">
        <f>HYPERLINK("http://www.eatonpowersource.com/products/configure/pumps/details/706998-al","706998-AL")</f>
        <v>706998-AL</v>
      </c>
      <c r="B7910" s="6" t="s">
        <v>7866</v>
      </c>
    </row>
    <row r="7911" spans="1:2" x14ac:dyDescent="0.3">
      <c r="A7911" s="7" t="str">
        <f>HYPERLINK("http://www.eatonpowersource.com/products/configure/pumps/details/706998-b","706998-B")</f>
        <v>706998-B</v>
      </c>
      <c r="B7911" s="8" t="s">
        <v>7867</v>
      </c>
    </row>
    <row r="7912" spans="1:2" x14ac:dyDescent="0.3">
      <c r="A7912" s="5" t="str">
        <f>HYPERLINK("http://www.eatonpowersource.com/products/configure/pumps/details/706998-c","706998-C")</f>
        <v>706998-C</v>
      </c>
      <c r="B7912" s="6" t="s">
        <v>7868</v>
      </c>
    </row>
    <row r="7913" spans="1:2" x14ac:dyDescent="0.3">
      <c r="A7913" s="7" t="str">
        <f>HYPERLINK("http://www.eatonpowersource.com/products/configure/pumps/details/707277-a","707277-A")</f>
        <v>707277-A</v>
      </c>
      <c r="B7913" s="8" t="s">
        <v>7869</v>
      </c>
    </row>
    <row r="7914" spans="1:2" x14ac:dyDescent="0.3">
      <c r="A7914" s="5" t="str">
        <f>HYPERLINK("http://www.eatonpowersource.com/products/configure/pumps/details/707277-b","707277-B")</f>
        <v>707277-B</v>
      </c>
      <c r="B7914" s="6" t="s">
        <v>7870</v>
      </c>
    </row>
    <row r="7915" spans="1:2" x14ac:dyDescent="0.3">
      <c r="A7915" s="7" t="str">
        <f>HYPERLINK("http://www.eatonpowersource.com/products/configure/pumps/details/707277-c","707277-C")</f>
        <v>707277-C</v>
      </c>
      <c r="B7915" s="8" t="s">
        <v>7871</v>
      </c>
    </row>
    <row r="7916" spans="1:2" x14ac:dyDescent="0.3">
      <c r="A7916" s="5" t="str">
        <f>HYPERLINK("http://www.eatonpowersource.com/products/configure/pumps/details/707277-d","707277-D")</f>
        <v>707277-D</v>
      </c>
      <c r="B7916" s="6" t="s">
        <v>7872</v>
      </c>
    </row>
    <row r="7917" spans="1:2" x14ac:dyDescent="0.3">
      <c r="A7917" s="7" t="str">
        <f>HYPERLINK("http://www.eatonpowersource.com/products/configure/pumps/details/707278-a","707278-A")</f>
        <v>707278-A</v>
      </c>
      <c r="B7917" s="8" t="s">
        <v>7873</v>
      </c>
    </row>
    <row r="7918" spans="1:2" x14ac:dyDescent="0.3">
      <c r="A7918" s="5" t="str">
        <f>HYPERLINK("http://www.eatonpowersource.com/products/configure/pumps/details/707278-al","707278-AL")</f>
        <v>707278-AL</v>
      </c>
      <c r="B7918" s="6" t="s">
        <v>7874</v>
      </c>
    </row>
    <row r="7919" spans="1:2" x14ac:dyDescent="0.3">
      <c r="A7919" s="7" t="str">
        <f>HYPERLINK("http://www.eatonpowersource.com/products/configure/pumps/details/707278-b","707278-B")</f>
        <v>707278-B</v>
      </c>
      <c r="B7919" s="8" t="s">
        <v>7875</v>
      </c>
    </row>
    <row r="7920" spans="1:2" x14ac:dyDescent="0.3">
      <c r="A7920" s="5" t="str">
        <f>HYPERLINK("http://www.eatonpowersource.com/products/configure/pumps/details/707278-c","707278-C")</f>
        <v>707278-C</v>
      </c>
      <c r="B7920" s="6" t="s">
        <v>7876</v>
      </c>
    </row>
    <row r="7921" spans="1:2" x14ac:dyDescent="0.3">
      <c r="A7921" s="7" t="str">
        <f>HYPERLINK("http://www.eatonpowersource.com/products/configure/pumps/details/707278-d","707278-D")</f>
        <v>707278-D</v>
      </c>
      <c r="B7921" s="8" t="s">
        <v>7877</v>
      </c>
    </row>
    <row r="7922" spans="1:2" x14ac:dyDescent="0.3">
      <c r="A7922" s="5" t="str">
        <f>HYPERLINK("http://www.eatonpowersource.com/products/configure/pumps/details/708219-a","708219-A")</f>
        <v>708219-A</v>
      </c>
      <c r="B7922" s="6" t="s">
        <v>7878</v>
      </c>
    </row>
    <row r="7923" spans="1:2" x14ac:dyDescent="0.3">
      <c r="A7923" s="7" t="str">
        <f>HYPERLINK("http://www.eatonpowersource.com/products/configure/pumps/details/708219-al","708219-AL")</f>
        <v>708219-AL</v>
      </c>
      <c r="B7923" s="8" t="s">
        <v>7879</v>
      </c>
    </row>
    <row r="7924" spans="1:2" x14ac:dyDescent="0.3">
      <c r="A7924" s="5" t="str">
        <f>HYPERLINK("http://www.eatonpowersource.com/products/configure/pumps/details/708219-b","708219-B")</f>
        <v>708219-B</v>
      </c>
      <c r="B7924" s="6" t="s">
        <v>7880</v>
      </c>
    </row>
    <row r="7925" spans="1:2" x14ac:dyDescent="0.3">
      <c r="A7925" s="7" t="str">
        <f>HYPERLINK("http://www.eatonpowersource.com/products/configure/pumps/details/708219-c","708219-C")</f>
        <v>708219-C</v>
      </c>
      <c r="B7925" s="8" t="s">
        <v>7881</v>
      </c>
    </row>
    <row r="7926" spans="1:2" x14ac:dyDescent="0.3">
      <c r="A7926" s="5" t="str">
        <f>HYPERLINK("http://www.eatonpowersource.com/products/configure/pumps/details/708371-a","708371-A")</f>
        <v>708371-A</v>
      </c>
      <c r="B7926" s="6" t="s">
        <v>7882</v>
      </c>
    </row>
    <row r="7927" spans="1:2" x14ac:dyDescent="0.3">
      <c r="A7927" s="7" t="str">
        <f>HYPERLINK("http://www.eatonpowersource.com/products/configure/pumps/details/708371-al","708371-AL")</f>
        <v>708371-AL</v>
      </c>
      <c r="B7927" s="8" t="s">
        <v>7883</v>
      </c>
    </row>
    <row r="7928" spans="1:2" x14ac:dyDescent="0.3">
      <c r="A7928" s="5" t="str">
        <f>HYPERLINK("http://www.eatonpowersource.com/products/configure/pumps/details/708371-b","708371-B")</f>
        <v>708371-B</v>
      </c>
      <c r="B7928" s="6" t="s">
        <v>7884</v>
      </c>
    </row>
    <row r="7929" spans="1:2" x14ac:dyDescent="0.3">
      <c r="A7929" s="7" t="str">
        <f>HYPERLINK("http://www.eatonpowersource.com/products/configure/pumps/details/708371-c","708371-C")</f>
        <v>708371-C</v>
      </c>
      <c r="B7929" s="8" t="s">
        <v>7885</v>
      </c>
    </row>
    <row r="7930" spans="1:2" x14ac:dyDescent="0.3">
      <c r="A7930" s="5" t="str">
        <f>HYPERLINK("http://www.eatonpowersource.com/products/configure/pumps/details/708371-cl","708371-CL")</f>
        <v>708371-CL</v>
      </c>
      <c r="B7930" s="6" t="s">
        <v>7886</v>
      </c>
    </row>
    <row r="7931" spans="1:2" x14ac:dyDescent="0.3">
      <c r="A7931" s="7" t="str">
        <f>HYPERLINK("http://www.eatonpowersource.com/products/configure/pumps/details/708371-d","708371-D")</f>
        <v>708371-D</v>
      </c>
      <c r="B7931" s="8" t="s">
        <v>7887</v>
      </c>
    </row>
    <row r="7932" spans="1:2" x14ac:dyDescent="0.3">
      <c r="A7932" s="5" t="str">
        <f>HYPERLINK("http://www.eatonpowersource.com/products/configure/pumps/details/708397-a","708397-A")</f>
        <v>708397-A</v>
      </c>
      <c r="B7932" s="6" t="s">
        <v>7888</v>
      </c>
    </row>
    <row r="7933" spans="1:2" x14ac:dyDescent="0.3">
      <c r="A7933" s="7" t="str">
        <f>HYPERLINK("http://www.eatonpowersource.com/products/configure/pumps/details/708397-al","708397-AL")</f>
        <v>708397-AL</v>
      </c>
      <c r="B7933" s="8" t="s">
        <v>7889</v>
      </c>
    </row>
    <row r="7934" spans="1:2" x14ac:dyDescent="0.3">
      <c r="A7934" s="5" t="str">
        <f>HYPERLINK("http://www.eatonpowersource.com/products/configure/pumps/details/708397-b","708397-B")</f>
        <v>708397-B</v>
      </c>
      <c r="B7934" s="6" t="s">
        <v>7890</v>
      </c>
    </row>
    <row r="7935" spans="1:2" x14ac:dyDescent="0.3">
      <c r="A7935" s="7" t="str">
        <f>HYPERLINK("http://www.eatonpowersource.com/products/configure/pumps/details/708397-c","708397-C")</f>
        <v>708397-C</v>
      </c>
      <c r="B7935" s="8" t="s">
        <v>7891</v>
      </c>
    </row>
    <row r="7936" spans="1:2" x14ac:dyDescent="0.3">
      <c r="A7936" s="5" t="str">
        <f>HYPERLINK("http://www.eatonpowersource.com/products/configure/pumps/details/708398-a","708398-A")</f>
        <v>708398-A</v>
      </c>
      <c r="B7936" s="6" t="s">
        <v>7892</v>
      </c>
    </row>
    <row r="7937" spans="1:2" x14ac:dyDescent="0.3">
      <c r="A7937" s="7" t="str">
        <f>HYPERLINK("http://www.eatonpowersource.com/products/configure/pumps/details/708398-c","708398-C")</f>
        <v>708398-C</v>
      </c>
      <c r="B7937" s="8" t="s">
        <v>7893</v>
      </c>
    </row>
    <row r="7938" spans="1:2" x14ac:dyDescent="0.3">
      <c r="A7938" s="5" t="str">
        <f>HYPERLINK("http://www.eatonpowersource.com/products/configure/pumps/details/708783-a","708783-A")</f>
        <v>708783-A</v>
      </c>
      <c r="B7938" s="6" t="s">
        <v>7894</v>
      </c>
    </row>
    <row r="7939" spans="1:2" x14ac:dyDescent="0.3">
      <c r="A7939" s="7" t="str">
        <f>HYPERLINK("http://www.eatonpowersource.com/products/configure/pumps/details/708784-a","708784-A")</f>
        <v>708784-A</v>
      </c>
      <c r="B7939" s="8" t="s">
        <v>7895</v>
      </c>
    </row>
    <row r="7940" spans="1:2" x14ac:dyDescent="0.3">
      <c r="A7940" s="5" t="str">
        <f>HYPERLINK("http://www.eatonpowersource.com/products/configure/pumps/details/708784-al","708784-AL")</f>
        <v>708784-AL</v>
      </c>
      <c r="B7940" s="6" t="s">
        <v>7896</v>
      </c>
    </row>
    <row r="7941" spans="1:2" x14ac:dyDescent="0.3">
      <c r="A7941" s="7" t="str">
        <f>HYPERLINK("http://www.eatonpowersource.com/products/configure/pumps/details/708784-b","708784-B")</f>
        <v>708784-B</v>
      </c>
      <c r="B7941" s="8" t="s">
        <v>7897</v>
      </c>
    </row>
    <row r="7942" spans="1:2" x14ac:dyDescent="0.3">
      <c r="A7942" s="5" t="str">
        <f>HYPERLINK("http://www.eatonpowersource.com/products/configure/pumps/details/708784-c","708784-C")</f>
        <v>708784-C</v>
      </c>
      <c r="B7942" s="6" t="s">
        <v>7898</v>
      </c>
    </row>
    <row r="7943" spans="1:2" x14ac:dyDescent="0.3">
      <c r="A7943" s="7" t="str">
        <f>HYPERLINK("http://www.eatonpowersource.com/products/configure/pumps/details/708785-a","708785-A")</f>
        <v>708785-A</v>
      </c>
      <c r="B7943" s="8" t="s">
        <v>7899</v>
      </c>
    </row>
    <row r="7944" spans="1:2" x14ac:dyDescent="0.3">
      <c r="A7944" s="5" t="str">
        <f>HYPERLINK("http://www.eatonpowersource.com/products/configure/pumps/details/708785-al","708785-AL")</f>
        <v>708785-AL</v>
      </c>
      <c r="B7944" s="6" t="s">
        <v>7900</v>
      </c>
    </row>
    <row r="7945" spans="1:2" x14ac:dyDescent="0.3">
      <c r="A7945" s="7" t="str">
        <f>HYPERLINK("http://www.eatonpowersource.com/products/configure/pumps/details/708785-b","708785-B")</f>
        <v>708785-B</v>
      </c>
      <c r="B7945" s="8" t="s">
        <v>7901</v>
      </c>
    </row>
    <row r="7946" spans="1:2" x14ac:dyDescent="0.3">
      <c r="A7946" s="5" t="str">
        <f>HYPERLINK("http://www.eatonpowersource.com/products/configure/pumps/details/708785-c","708785-C")</f>
        <v>708785-C</v>
      </c>
      <c r="B7946" s="6" t="s">
        <v>7902</v>
      </c>
    </row>
    <row r="7947" spans="1:2" x14ac:dyDescent="0.3">
      <c r="A7947" s="7" t="str">
        <f>HYPERLINK("http://www.eatonpowersource.com/products/configure/pumps/details/708786-a","708786-A")</f>
        <v>708786-A</v>
      </c>
      <c r="B7947" s="8" t="s">
        <v>7903</v>
      </c>
    </row>
    <row r="7948" spans="1:2" x14ac:dyDescent="0.3">
      <c r="A7948" s="5" t="str">
        <f>HYPERLINK("http://www.eatonpowersource.com/products/configure/pumps/details/708786-b","708786-B")</f>
        <v>708786-B</v>
      </c>
      <c r="B7948" s="6" t="s">
        <v>7904</v>
      </c>
    </row>
    <row r="7949" spans="1:2" x14ac:dyDescent="0.3">
      <c r="A7949" s="7" t="str">
        <f>HYPERLINK("http://www.eatonpowersource.com/products/configure/pumps/details/708786-c","708786-C")</f>
        <v>708786-C</v>
      </c>
      <c r="B7949" s="8" t="s">
        <v>7905</v>
      </c>
    </row>
    <row r="7950" spans="1:2" x14ac:dyDescent="0.3">
      <c r="A7950" s="5" t="str">
        <f>HYPERLINK("http://www.eatonpowersource.com/products/configure/pumps/details/708787-a","708787-A")</f>
        <v>708787-A</v>
      </c>
      <c r="B7950" s="6" t="s">
        <v>7906</v>
      </c>
    </row>
    <row r="7951" spans="1:2" x14ac:dyDescent="0.3">
      <c r="A7951" s="7" t="str">
        <f>HYPERLINK("http://www.eatonpowersource.com/products/configure/pumps/details/708787-al","708787-AL")</f>
        <v>708787-AL</v>
      </c>
      <c r="B7951" s="8" t="s">
        <v>7907</v>
      </c>
    </row>
    <row r="7952" spans="1:2" x14ac:dyDescent="0.3">
      <c r="A7952" s="5" t="str">
        <f>HYPERLINK("http://www.eatonpowersource.com/products/configure/pumps/details/708787-b","708787-B")</f>
        <v>708787-B</v>
      </c>
      <c r="B7952" s="6" t="s">
        <v>7908</v>
      </c>
    </row>
    <row r="7953" spans="1:2" x14ac:dyDescent="0.3">
      <c r="A7953" s="7" t="str">
        <f>HYPERLINK("http://www.eatonpowersource.com/products/configure/pumps/details/708787-c","708787-C")</f>
        <v>708787-C</v>
      </c>
      <c r="B7953" s="8" t="s">
        <v>7909</v>
      </c>
    </row>
    <row r="7954" spans="1:2" x14ac:dyDescent="0.3">
      <c r="A7954" s="5" t="str">
        <f>HYPERLINK("http://www.eatonpowersource.com/products/configure/pumps/details/708874-a","708874-A")</f>
        <v>708874-A</v>
      </c>
      <c r="B7954" s="6" t="s">
        <v>7910</v>
      </c>
    </row>
    <row r="7955" spans="1:2" x14ac:dyDescent="0.3">
      <c r="A7955" s="7" t="str">
        <f>HYPERLINK("http://www.eatonpowersource.com/products/configure/pumps/details/721ar00009a","721AR00009A")</f>
        <v>721AR00009A</v>
      </c>
      <c r="B7955" s="8" t="s">
        <v>7911</v>
      </c>
    </row>
    <row r="7956" spans="1:2" x14ac:dyDescent="0.3">
      <c r="A7956" s="5" t="str">
        <f>HYPERLINK("http://www.eatonpowersource.com/products/configure/pumps/details/725ar00003a","725AR00003A")</f>
        <v>725AR00003A</v>
      </c>
      <c r="B7956" s="6" t="s">
        <v>7912</v>
      </c>
    </row>
    <row r="7957" spans="1:2" x14ac:dyDescent="0.3">
      <c r="A7957" s="7" t="str">
        <f>HYPERLINK("http://www.eatonpowersource.com/products/configure/pumps/details/725ar00007a","725AR00007A")</f>
        <v>725AR00007A</v>
      </c>
      <c r="B7957" s="8" t="s">
        <v>7913</v>
      </c>
    </row>
    <row r="7958" spans="1:2" x14ac:dyDescent="0.3">
      <c r="A7958" s="5" t="str">
        <f>HYPERLINK("http://www.eatonpowersource.com/products/configure/pumps/details/725ar00064a","725AR00064A")</f>
        <v>725AR00064A</v>
      </c>
      <c r="B7958" s="6" t="s">
        <v>7914</v>
      </c>
    </row>
    <row r="7959" spans="1:2" x14ac:dyDescent="0.3">
      <c r="A7959" s="7" t="str">
        <f>HYPERLINK("http://www.eatonpowersource.com/products/configure/pumps/details/764964-a","764964-A")</f>
        <v>764964-A</v>
      </c>
      <c r="B7959" s="8" t="s">
        <v>7915</v>
      </c>
    </row>
    <row r="7960" spans="1:2" x14ac:dyDescent="0.3">
      <c r="A7960" s="5" t="str">
        <f>HYPERLINK("http://www.eatonpowersource.com/products/configure/pumps/details/764964-c","764964-C")</f>
        <v>764964-C</v>
      </c>
      <c r="B7960" s="6" t="s">
        <v>7916</v>
      </c>
    </row>
    <row r="7961" spans="1:2" x14ac:dyDescent="0.3">
      <c r="A7961" s="7" t="str">
        <f>HYPERLINK("http://www.eatonpowersource.com/products/configure/pumps/details/764964-cl","764964-CL")</f>
        <v>764964-CL</v>
      </c>
      <c r="B7961" s="8" t="s">
        <v>7917</v>
      </c>
    </row>
    <row r="7962" spans="1:2" x14ac:dyDescent="0.3">
      <c r="A7962" s="5" t="str">
        <f>HYPERLINK("http://www.eatonpowersource.com/products/configure/pumps/details/813673-a","813673-A")</f>
        <v>813673-A</v>
      </c>
      <c r="B7962" s="6" t="s">
        <v>7918</v>
      </c>
    </row>
    <row r="7963" spans="1:2" x14ac:dyDescent="0.3">
      <c r="A7963" s="7" t="str">
        <f>HYPERLINK("http://www.eatonpowersource.com/products/configure/pumps/details/813673-c","813673-C")</f>
        <v>813673-C</v>
      </c>
      <c r="B7963" s="8" t="s">
        <v>7919</v>
      </c>
    </row>
    <row r="7964" spans="1:2" x14ac:dyDescent="0.3">
      <c r="A7964" s="5" t="str">
        <f>HYPERLINK("http://www.eatonpowersource.com/products/configure/pumps/details/813673-cl","813673-CL")</f>
        <v>813673-CL</v>
      </c>
      <c r="B7964" s="6" t="s">
        <v>7920</v>
      </c>
    </row>
    <row r="7965" spans="1:2" x14ac:dyDescent="0.3">
      <c r="A7965" s="7" t="str">
        <f>HYPERLINK("http://www.eatonpowersource.com/products/configure/pumps/details/814815-a","814815-A")</f>
        <v>814815-A</v>
      </c>
      <c r="B7965" s="8" t="s">
        <v>7921</v>
      </c>
    </row>
    <row r="7966" spans="1:2" x14ac:dyDescent="0.3">
      <c r="A7966" s="5" t="str">
        <f>HYPERLINK("http://www.eatonpowersource.com/products/configure/pumps/details/849904-c","849904-C")</f>
        <v>849904-C</v>
      </c>
      <c r="B7966" s="6" t="s">
        <v>7922</v>
      </c>
    </row>
    <row r="7967" spans="1:2" x14ac:dyDescent="0.3">
      <c r="A7967" s="7" t="str">
        <f>HYPERLINK("http://www.eatonpowersource.com/products/configure/pumps/details/849925-bb","849925-BB")</f>
        <v>849925-BB</v>
      </c>
      <c r="B7967" s="8" t="s">
        <v>7923</v>
      </c>
    </row>
    <row r="7968" spans="1:2" x14ac:dyDescent="0.3">
      <c r="A7968" s="5" t="str">
        <f>HYPERLINK("http://www.eatonpowersource.com/products/configure/pumps/details/849997-aa","849997-AA")</f>
        <v>849997-AA</v>
      </c>
      <c r="B7968" s="6" t="s">
        <v>7924</v>
      </c>
    </row>
    <row r="7969" spans="1:2" x14ac:dyDescent="0.3">
      <c r="A7969" s="7" t="str">
        <f>HYPERLINK("http://www.eatonpowersource.com/products/configure/pumps/details/849997-cc","849997-CC")</f>
        <v>849997-CC</v>
      </c>
      <c r="B7969" s="8" t="s">
        <v>7925</v>
      </c>
    </row>
    <row r="7970" spans="1:2" x14ac:dyDescent="0.3">
      <c r="A7970" s="5" t="str">
        <f>HYPERLINK("http://www.eatonpowersource.com/products/configure/pumps/details/849999-aa","849999-AA")</f>
        <v>849999-AA</v>
      </c>
      <c r="B7970" s="6" t="s">
        <v>7926</v>
      </c>
    </row>
    <row r="7971" spans="1:2" x14ac:dyDescent="0.3">
      <c r="A7971" s="7" t="str">
        <f>HYPERLINK("http://www.eatonpowersource.com/products/configure/pumps/details/849999-cc","849999-CC")</f>
        <v>849999-CC</v>
      </c>
      <c r="B7971" s="8" t="s">
        <v>7927</v>
      </c>
    </row>
    <row r="7972" spans="1:2" x14ac:dyDescent="0.3">
      <c r="A7972" s="5" t="str">
        <f>HYPERLINK("http://www.eatonpowersource.com/products/configure/pumps/details/850001-aa","850001-AA")</f>
        <v>850001-AA</v>
      </c>
      <c r="B7972" s="6" t="s">
        <v>7928</v>
      </c>
    </row>
    <row r="7973" spans="1:2" x14ac:dyDescent="0.3">
      <c r="A7973" s="7" t="str">
        <f>HYPERLINK("http://www.eatonpowersource.com/products/configure/pumps/details/850001-aal","850001-AAL")</f>
        <v>850001-AAL</v>
      </c>
      <c r="B7973" s="8" t="s">
        <v>7929</v>
      </c>
    </row>
    <row r="7974" spans="1:2" x14ac:dyDescent="0.3">
      <c r="A7974" s="5" t="str">
        <f>HYPERLINK("http://www.eatonpowersource.com/products/configure/pumps/details/850002-aa","850002-AA")</f>
        <v>850002-AA</v>
      </c>
      <c r="B7974" s="6" t="s">
        <v>7930</v>
      </c>
    </row>
    <row r="7975" spans="1:2" x14ac:dyDescent="0.3">
      <c r="A7975" s="7" t="str">
        <f>HYPERLINK("http://www.eatonpowersource.com/products/configure/pumps/details/850002-cc","850002-CC")</f>
        <v>850002-CC</v>
      </c>
      <c r="B7975" s="8" t="s">
        <v>7931</v>
      </c>
    </row>
    <row r="7976" spans="1:2" x14ac:dyDescent="0.3">
      <c r="A7976" s="5" t="str">
        <f>HYPERLINK("http://www.eatonpowersource.com/products/configure/pumps/details/850003-aa","850003-AA")</f>
        <v>850003-AA</v>
      </c>
      <c r="B7976" s="6" t="s">
        <v>7932</v>
      </c>
    </row>
    <row r="7977" spans="1:2" x14ac:dyDescent="0.3">
      <c r="A7977" s="7" t="str">
        <f>HYPERLINK("http://www.eatonpowersource.com/products/configure/pumps/details/850003-ab","850003-AB")</f>
        <v>850003-AB</v>
      </c>
      <c r="B7977" s="8" t="s">
        <v>7933</v>
      </c>
    </row>
    <row r="7978" spans="1:2" x14ac:dyDescent="0.3">
      <c r="A7978" s="5" t="str">
        <f>HYPERLINK("http://www.eatonpowersource.com/products/configure/pumps/details/850004-aa","850004-AA")</f>
        <v>850004-AA</v>
      </c>
      <c r="B7978" s="6" t="s">
        <v>7934</v>
      </c>
    </row>
    <row r="7979" spans="1:2" x14ac:dyDescent="0.3">
      <c r="A7979" s="7" t="str">
        <f>HYPERLINK("http://www.eatonpowersource.com/products/configure/pumps/details/850004-cc","850004-CC")</f>
        <v>850004-CC</v>
      </c>
      <c r="B7979" s="8" t="s">
        <v>7935</v>
      </c>
    </row>
    <row r="7980" spans="1:2" x14ac:dyDescent="0.3">
      <c r="A7980" s="5" t="str">
        <f>HYPERLINK("http://www.eatonpowersource.com/products/configure/pumps/details/850005-aa","850005-AA")</f>
        <v>850005-AA</v>
      </c>
      <c r="B7980" s="6" t="s">
        <v>7936</v>
      </c>
    </row>
    <row r="7981" spans="1:2" x14ac:dyDescent="0.3">
      <c r="A7981" s="7" t="str">
        <f>HYPERLINK("http://www.eatonpowersource.com/products/configure/pumps/details/850005-cc","850005-CC")</f>
        <v>850005-CC</v>
      </c>
      <c r="B7981" s="8" t="s">
        <v>7937</v>
      </c>
    </row>
    <row r="7982" spans="1:2" x14ac:dyDescent="0.3">
      <c r="A7982" s="5" t="str">
        <f>HYPERLINK("http://www.eatonpowersource.com/products/configure/pumps/details/850006-aa","850006-AA")</f>
        <v>850006-AA</v>
      </c>
      <c r="B7982" s="6" t="s">
        <v>7938</v>
      </c>
    </row>
    <row r="7983" spans="1:2" x14ac:dyDescent="0.3">
      <c r="A7983" s="7" t="str">
        <f>HYPERLINK("http://www.eatonpowersource.com/products/configure/pumps/details/850006-cc","850006-CC")</f>
        <v>850006-CC</v>
      </c>
      <c r="B7983" s="8" t="s">
        <v>7939</v>
      </c>
    </row>
    <row r="7984" spans="1:2" x14ac:dyDescent="0.3">
      <c r="A7984" s="5" t="str">
        <f>HYPERLINK("http://www.eatonpowersource.com/products/configure/pumps/details/850007-aa","850007-AA")</f>
        <v>850007-AA</v>
      </c>
      <c r="B7984" s="6" t="s">
        <v>7940</v>
      </c>
    </row>
    <row r="7985" spans="1:2" x14ac:dyDescent="0.3">
      <c r="A7985" s="7" t="str">
        <f>HYPERLINK("http://www.eatonpowersource.com/products/configure/pumps/details/850008-aa","850008-AA")</f>
        <v>850008-AA</v>
      </c>
      <c r="B7985" s="8" t="s">
        <v>7941</v>
      </c>
    </row>
    <row r="7986" spans="1:2" x14ac:dyDescent="0.3">
      <c r="A7986" s="5" t="str">
        <f>HYPERLINK("http://www.eatonpowersource.com/products/configure/pumps/details/850008-cc","850008-CC")</f>
        <v>850008-CC</v>
      </c>
      <c r="B7986" s="6" t="s">
        <v>7942</v>
      </c>
    </row>
    <row r="7987" spans="1:2" x14ac:dyDescent="0.3">
      <c r="A7987" s="7" t="str">
        <f>HYPERLINK("http://www.eatonpowersource.com/products/configure/pumps/details/850009-ba","850009-BA")</f>
        <v>850009-BA</v>
      </c>
      <c r="B7987" s="8" t="s">
        <v>7943</v>
      </c>
    </row>
    <row r="7988" spans="1:2" x14ac:dyDescent="0.3">
      <c r="A7988" s="5" t="str">
        <f>HYPERLINK("http://www.eatonpowersource.com/products/configure/pumps/details/850009-cc","850009-CC")</f>
        <v>850009-CC</v>
      </c>
      <c r="B7988" s="6" t="s">
        <v>7944</v>
      </c>
    </row>
    <row r="7989" spans="1:2" x14ac:dyDescent="0.3">
      <c r="A7989" s="7" t="str">
        <f>HYPERLINK("http://www.eatonpowersource.com/products/configure/pumps/details/850010-aa","850010-AA")</f>
        <v>850010-AA</v>
      </c>
      <c r="B7989" s="8" t="s">
        <v>7945</v>
      </c>
    </row>
    <row r="7990" spans="1:2" x14ac:dyDescent="0.3">
      <c r="A7990" s="5" t="str">
        <f>HYPERLINK("http://www.eatonpowersource.com/products/configure/pumps/details/850010-ad","850010-AD")</f>
        <v>850010-AD</v>
      </c>
      <c r="B7990" s="6" t="s">
        <v>7946</v>
      </c>
    </row>
    <row r="7991" spans="1:2" x14ac:dyDescent="0.3">
      <c r="A7991" s="7" t="str">
        <f>HYPERLINK("http://www.eatonpowersource.com/products/configure/pumps/details/850010-cc","850010-CC")</f>
        <v>850010-CC</v>
      </c>
      <c r="B7991" s="8" t="s">
        <v>7947</v>
      </c>
    </row>
    <row r="7992" spans="1:2" x14ac:dyDescent="0.3">
      <c r="A7992" s="5" t="str">
        <f>HYPERLINK("http://www.eatonpowersource.com/products/configure/pumps/details/850011-aa","850011-AA")</f>
        <v>850011-AA</v>
      </c>
      <c r="B7992" s="6" t="s">
        <v>7948</v>
      </c>
    </row>
    <row r="7993" spans="1:2" x14ac:dyDescent="0.3">
      <c r="A7993" s="7" t="str">
        <f>HYPERLINK("http://www.eatonpowersource.com/products/configure/pumps/details/850011-cc","850011-CC")</f>
        <v>850011-CC</v>
      </c>
      <c r="B7993" s="8" t="s">
        <v>7949</v>
      </c>
    </row>
    <row r="7994" spans="1:2" x14ac:dyDescent="0.3">
      <c r="A7994" s="5" t="str">
        <f>HYPERLINK("http://www.eatonpowersource.com/products/configure/pumps/details/850012-aa","850012-AA")</f>
        <v>850012-AA</v>
      </c>
      <c r="B7994" s="6" t="s">
        <v>7950</v>
      </c>
    </row>
    <row r="7995" spans="1:2" x14ac:dyDescent="0.3">
      <c r="A7995" s="7" t="str">
        <f>HYPERLINK("http://www.eatonpowersource.com/products/configure/pumps/details/850030-ad","850030-AD")</f>
        <v>850030-AD</v>
      </c>
      <c r="B7995" s="8" t="s">
        <v>7951</v>
      </c>
    </row>
    <row r="7996" spans="1:2" x14ac:dyDescent="0.3">
      <c r="A7996" s="5" t="str">
        <f>HYPERLINK("http://www.eatonpowersource.com/products/configure/pumps/details/850033-cc","850033-CC")</f>
        <v>850033-CC</v>
      </c>
      <c r="B7996" s="6" t="s">
        <v>7952</v>
      </c>
    </row>
    <row r="7997" spans="1:2" x14ac:dyDescent="0.3">
      <c r="A7997" s="7" t="str">
        <f>HYPERLINK("http://www.eatonpowersource.com/products/configure/pumps/details/850044-bb","850044-BB")</f>
        <v>850044-BB</v>
      </c>
      <c r="B7997" s="8" t="s">
        <v>7953</v>
      </c>
    </row>
    <row r="7998" spans="1:2" x14ac:dyDescent="0.3">
      <c r="A7998" s="5" t="str">
        <f>HYPERLINK("http://www.eatonpowersource.com/products/configure/pumps/details/850047-aa","850047-AA")</f>
        <v>850047-AA</v>
      </c>
      <c r="B7998" s="6" t="s">
        <v>7954</v>
      </c>
    </row>
    <row r="7999" spans="1:2" x14ac:dyDescent="0.3">
      <c r="A7999" s="7" t="str">
        <f>HYPERLINK("http://www.eatonpowersource.com/products/configure/pumps/details/850060-cc","850060-CC")</f>
        <v>850060-CC</v>
      </c>
      <c r="B7999" s="8" t="s">
        <v>7955</v>
      </c>
    </row>
    <row r="8000" spans="1:2" x14ac:dyDescent="0.3">
      <c r="A8000" s="5" t="str">
        <f>HYPERLINK("http://www.eatonpowersource.com/products/configure/pumps/details/850077-aa","850077-AA")</f>
        <v>850077-AA</v>
      </c>
      <c r="B8000" s="6" t="s">
        <v>7956</v>
      </c>
    </row>
    <row r="8001" spans="1:2" x14ac:dyDescent="0.3">
      <c r="A8001" s="7" t="str">
        <f>HYPERLINK("http://www.eatonpowersource.com/products/configure/pumps/details/850088-cbl","850088-CBL")</f>
        <v>850088-CBL</v>
      </c>
      <c r="B8001" s="8" t="s">
        <v>7957</v>
      </c>
    </row>
    <row r="8002" spans="1:2" x14ac:dyDescent="0.3">
      <c r="A8002" s="5" t="str">
        <f>HYPERLINK("http://www.eatonpowersource.com/products/configure/pumps/details/850329-aa","850329-AA")</f>
        <v>850329-AA</v>
      </c>
      <c r="B8002" s="6" t="s">
        <v>7958</v>
      </c>
    </row>
    <row r="8003" spans="1:2" x14ac:dyDescent="0.3">
      <c r="A8003" s="7" t="str">
        <f>HYPERLINK("http://www.eatonpowersource.com/products/configure/pumps/details/850329-cc","850329-CC")</f>
        <v>850329-CC</v>
      </c>
      <c r="B8003" s="8" t="s">
        <v>7959</v>
      </c>
    </row>
    <row r="8004" spans="1:2" x14ac:dyDescent="0.3">
      <c r="A8004" s="5" t="str">
        <f>HYPERLINK("http://www.eatonpowersource.com/products/configure/pumps/details/850330-aa","850330-AA")</f>
        <v>850330-AA</v>
      </c>
      <c r="B8004" s="6" t="s">
        <v>7960</v>
      </c>
    </row>
    <row r="8005" spans="1:2" x14ac:dyDescent="0.3">
      <c r="A8005" s="7" t="str">
        <f>HYPERLINK("http://www.eatonpowersource.com/products/configure/pumps/details/850331-cc","850331-CC")</f>
        <v>850331-CC</v>
      </c>
      <c r="B8005" s="8" t="s">
        <v>7961</v>
      </c>
    </row>
    <row r="8006" spans="1:2" x14ac:dyDescent="0.3">
      <c r="A8006" s="5" t="str">
        <f>HYPERLINK("http://www.eatonpowersource.com/products/configure/pumps/details/850357-aa","850357-AA")</f>
        <v>850357-AA</v>
      </c>
      <c r="B8006" s="6" t="s">
        <v>7962</v>
      </c>
    </row>
    <row r="8007" spans="1:2" x14ac:dyDescent="0.3">
      <c r="A8007" s="7" t="str">
        <f>HYPERLINK("http://www.eatonpowersource.com/products/configure/pumps/details/850357-aal","850357-AAL")</f>
        <v>850357-AAL</v>
      </c>
      <c r="B8007" s="8" t="s">
        <v>7963</v>
      </c>
    </row>
    <row r="8008" spans="1:2" x14ac:dyDescent="0.3">
      <c r="A8008" s="5" t="str">
        <f>HYPERLINK("http://www.eatonpowersource.com/products/configure/pumps/details/850357-cc","850357-CC")</f>
        <v>850357-CC</v>
      </c>
      <c r="B8008" s="6" t="s">
        <v>7964</v>
      </c>
    </row>
    <row r="8009" spans="1:2" x14ac:dyDescent="0.3">
      <c r="A8009" s="7" t="str">
        <f>HYPERLINK("http://www.eatonpowersource.com/products/configure/pumps/details/850358-aa","850358-AA")</f>
        <v>850358-AA</v>
      </c>
      <c r="B8009" s="8" t="s">
        <v>7965</v>
      </c>
    </row>
    <row r="8010" spans="1:2" x14ac:dyDescent="0.3">
      <c r="A8010" s="5" t="str">
        <f>HYPERLINK("http://www.eatonpowersource.com/products/configure/pumps/details/850359-aa","850359-AA")</f>
        <v>850359-AA</v>
      </c>
      <c r="B8010" s="6" t="s">
        <v>7966</v>
      </c>
    </row>
    <row r="8011" spans="1:2" x14ac:dyDescent="0.3">
      <c r="A8011" s="7" t="str">
        <f>HYPERLINK("http://www.eatonpowersource.com/products/configure/pumps/details/850361-aal","850361-AAL")</f>
        <v>850361-AAL</v>
      </c>
      <c r="B8011" s="8" t="s">
        <v>7967</v>
      </c>
    </row>
    <row r="8012" spans="1:2" x14ac:dyDescent="0.3">
      <c r="A8012" s="5" t="str">
        <f>HYPERLINK("http://www.eatonpowersource.com/products/configure/pumps/details/850372-aa","850372-AA")</f>
        <v>850372-AA</v>
      </c>
      <c r="B8012" s="6" t="s">
        <v>7968</v>
      </c>
    </row>
    <row r="8013" spans="1:2" x14ac:dyDescent="0.3">
      <c r="A8013" s="7" t="str">
        <f>HYPERLINK("http://www.eatonpowersource.com/products/configure/pumps/details/850380-cc","850380-CC")</f>
        <v>850380-CC</v>
      </c>
      <c r="B8013" s="8" t="s">
        <v>7969</v>
      </c>
    </row>
    <row r="8014" spans="1:2" x14ac:dyDescent="0.3">
      <c r="A8014" s="5" t="str">
        <f>HYPERLINK("http://www.eatonpowersource.com/products/configure/pumps/details/850381-aa","850381-AA")</f>
        <v>850381-AA</v>
      </c>
      <c r="B8014" s="6" t="s">
        <v>7970</v>
      </c>
    </row>
    <row r="8015" spans="1:2" x14ac:dyDescent="0.3">
      <c r="A8015" s="7" t="str">
        <f>HYPERLINK("http://www.eatonpowersource.com/products/configure/pumps/details/850397-aa","850397-AA")</f>
        <v>850397-AA</v>
      </c>
      <c r="B8015" s="8" t="s">
        <v>7971</v>
      </c>
    </row>
    <row r="8016" spans="1:2" x14ac:dyDescent="0.3">
      <c r="A8016" s="5" t="str">
        <f>HYPERLINK("http://www.eatonpowersource.com/products/configure/pumps/details/850502-dc","850502-DC")</f>
        <v>850502-DC</v>
      </c>
      <c r="B8016" s="6" t="s">
        <v>7972</v>
      </c>
    </row>
    <row r="8017" spans="1:2" x14ac:dyDescent="0.3">
      <c r="A8017" s="7" t="str">
        <f>HYPERLINK("http://www.eatonpowersource.com/products/configure/pumps/details/875445-a","875445-A")</f>
        <v>875445-A</v>
      </c>
      <c r="B8017" s="8" t="s">
        <v>7973</v>
      </c>
    </row>
    <row r="8018" spans="1:2" x14ac:dyDescent="0.3">
      <c r="A8018" s="5" t="str">
        <f>HYPERLINK("http://www.eatonpowersource.com/products/configure/pumps/details/875445-c","875445-C")</f>
        <v>875445-C</v>
      </c>
      <c r="B8018" s="6" t="s">
        <v>7974</v>
      </c>
    </row>
    <row r="8019" spans="1:2" x14ac:dyDescent="0.3">
      <c r="A8019" s="7" t="str">
        <f>HYPERLINK("http://www.eatonpowersource.com/products/configure/pumps/details/981310-c","981310-C")</f>
        <v>981310-C</v>
      </c>
      <c r="B8019" s="8" t="s">
        <v>7975</v>
      </c>
    </row>
    <row r="8020" spans="1:2" x14ac:dyDescent="0.3">
      <c r="A8020" s="5" t="str">
        <f>HYPERLINK("http://www.eatonpowersource.com/products/configure/pumps/details/987050-c","987050-C")</f>
        <v>987050-C</v>
      </c>
      <c r="B8020" s="6" t="s">
        <v>7976</v>
      </c>
    </row>
    <row r="8021" spans="1:2" x14ac:dyDescent="0.3">
      <c r="A8021" s="7" t="str">
        <f>HYPERLINK("http://www.eatonpowersource.com/products/configure/pumps/details/987050-cl","987050-CL")</f>
        <v>987050-CL</v>
      </c>
      <c r="B8021" s="8" t="s">
        <v>7977</v>
      </c>
    </row>
    <row r="8022" spans="1:2" x14ac:dyDescent="0.3">
      <c r="A8022" s="5" t="str">
        <f>HYPERLINK("http://www.eatonpowersource.com/products/configure/pumps/details/987068-c","987068-C")</f>
        <v>987068-C</v>
      </c>
      <c r="B8022" s="6" t="s">
        <v>7978</v>
      </c>
    </row>
    <row r="8023" spans="1:2" x14ac:dyDescent="0.3">
      <c r="A8023" s="7" t="str">
        <f>HYPERLINK("http://www.eatonpowersource.com/products/configure/pumps/details/987068-cl","987068-CL")</f>
        <v>987068-CL</v>
      </c>
      <c r="B8023" s="8" t="s">
        <v>7979</v>
      </c>
    </row>
    <row r="8024" spans="1:2" x14ac:dyDescent="0.3">
      <c r="A8024" s="5" t="str">
        <f>HYPERLINK("http://www.eatonpowersource.com/products/configure/pumps/details/02-102475-ac","02-102475-AC")</f>
        <v>02-102475-AC</v>
      </c>
      <c r="B8024" s="6" t="s">
        <v>7980</v>
      </c>
    </row>
    <row r="8025" spans="1:2" x14ac:dyDescent="0.3">
      <c r="A8025" s="7" t="str">
        <f>HYPERLINK("http://www.eatonpowersource.com/products/configure/pumps/details/02-125379-aar","02-125379-AAR")</f>
        <v>02-125379-AAR</v>
      </c>
      <c r="B8025" s="8" t="s">
        <v>7981</v>
      </c>
    </row>
    <row r="8026" spans="1:2" x14ac:dyDescent="0.3">
      <c r="A8026" s="5" t="str">
        <f>HYPERLINK("http://www.eatonpowersource.com/products/configure/pumps/details/02-125380-aar","02-125380-AAR")</f>
        <v>02-125380-AAR</v>
      </c>
      <c r="B8026" s="6" t="s">
        <v>7982</v>
      </c>
    </row>
    <row r="8027" spans="1:2" x14ac:dyDescent="0.3">
      <c r="A8027" s="7" t="str">
        <f>HYPERLINK("http://www.eatonpowersource.com/products/configure/pumps/details/02-125384-aar","02-125384-AAR")</f>
        <v>02-125384-AAR</v>
      </c>
      <c r="B8027" s="8" t="s">
        <v>7983</v>
      </c>
    </row>
    <row r="8028" spans="1:2" x14ac:dyDescent="0.3">
      <c r="A8028" s="5" t="str">
        <f>HYPERLINK("http://www.eatonpowersource.com/products/configure/pumps/details/02-125385-aar","02-125385-AAR")</f>
        <v>02-125385-AAR</v>
      </c>
      <c r="B8028" s="6" t="s">
        <v>7984</v>
      </c>
    </row>
    <row r="8029" spans="1:2" x14ac:dyDescent="0.3">
      <c r="A8029" s="7" t="str">
        <f>HYPERLINK("http://www.eatonpowersource.com/products/configure/pumps/details/02-125393-aar","02-125393-AAR")</f>
        <v>02-125393-AAR</v>
      </c>
      <c r="B8029" s="8" t="s">
        <v>7985</v>
      </c>
    </row>
    <row r="8030" spans="1:2" x14ac:dyDescent="0.3">
      <c r="A8030" s="5" t="str">
        <f>HYPERLINK("http://www.eatonpowersource.com/products/configure/pumps/details/02-125397-aar","02-125397-AAR")</f>
        <v>02-125397-AAR</v>
      </c>
      <c r="B8030" s="6" t="s">
        <v>7986</v>
      </c>
    </row>
    <row r="8031" spans="1:2" x14ac:dyDescent="0.3">
      <c r="A8031" s="7" t="str">
        <f>HYPERLINK("http://www.eatonpowersource.com/products/configure/pumps/details/02-125399-aar","02-125399-AAR")</f>
        <v>02-125399-AAR</v>
      </c>
      <c r="B8031" s="8" t="s">
        <v>7987</v>
      </c>
    </row>
    <row r="8032" spans="1:2" x14ac:dyDescent="0.3">
      <c r="A8032" s="5" t="str">
        <f>HYPERLINK("http://www.eatonpowersource.com/products/configure/pumps/details/02-125401-aar","02-125401-AAR")</f>
        <v>02-125401-AAR</v>
      </c>
      <c r="B8032" s="6" t="s">
        <v>7988</v>
      </c>
    </row>
    <row r="8033" spans="1:2" x14ac:dyDescent="0.3">
      <c r="A8033" s="7" t="str">
        <f>HYPERLINK("http://www.eatonpowersource.com/products/configure/pumps/details/02-125403-aar","02-125403-AAR")</f>
        <v>02-125403-AAR</v>
      </c>
      <c r="B8033" s="8" t="s">
        <v>7989</v>
      </c>
    </row>
    <row r="8034" spans="1:2" x14ac:dyDescent="0.3">
      <c r="A8034" s="5" t="str">
        <f>HYPERLINK("http://www.eatonpowersource.com/products/configure/pumps/details/02-125403-bar","02-125403-BAR")</f>
        <v>02-125403-BAR</v>
      </c>
      <c r="B8034" s="6" t="s">
        <v>7990</v>
      </c>
    </row>
    <row r="8035" spans="1:2" x14ac:dyDescent="0.3">
      <c r="A8035" s="7" t="str">
        <f>HYPERLINK("http://www.eatonpowersource.com/products/configure/pumps/details/02-125403-dbr","02-125403-DBR")</f>
        <v>02-125403-DBR</v>
      </c>
      <c r="B8035" s="8" t="s">
        <v>7991</v>
      </c>
    </row>
    <row r="8036" spans="1:2" x14ac:dyDescent="0.3">
      <c r="A8036" s="5" t="str">
        <f>HYPERLINK("http://www.eatonpowersource.com/products/configure/pumps/details/02-125411-aar","02-125411-AAR")</f>
        <v>02-125411-AAR</v>
      </c>
      <c r="B8036" s="6" t="s">
        <v>7992</v>
      </c>
    </row>
    <row r="8037" spans="1:2" x14ac:dyDescent="0.3">
      <c r="A8037" s="7" t="str">
        <f>HYPERLINK("http://www.eatonpowersource.com/products/configure/pumps/details/02-125430-bar","02-125430-BAR")</f>
        <v>02-125430-BAR</v>
      </c>
      <c r="B8037" s="8" t="s">
        <v>7993</v>
      </c>
    </row>
    <row r="8038" spans="1:2" x14ac:dyDescent="0.3">
      <c r="A8038" s="5" t="str">
        <f>HYPERLINK("http://www.eatonpowersource.com/products/configure/pumps/details/02-125430-ccr","02-125430-CCR")</f>
        <v>02-125430-CCR</v>
      </c>
      <c r="B8038" s="6" t="s">
        <v>7994</v>
      </c>
    </row>
    <row r="8039" spans="1:2" x14ac:dyDescent="0.3">
      <c r="A8039" s="7" t="str">
        <f>HYPERLINK("http://www.eatonpowersource.com/products/configure/pumps/details/02-125431-aar","02-125431-AAR")</f>
        <v>02-125431-AAR</v>
      </c>
      <c r="B8039" s="8" t="s">
        <v>7995</v>
      </c>
    </row>
    <row r="8040" spans="1:2" x14ac:dyDescent="0.3">
      <c r="A8040" s="5" t="str">
        <f>HYPERLINK("http://www.eatonpowersource.com/products/configure/pumps/details/02-125431-dar","02-125431-DAR")</f>
        <v>02-125431-DAR</v>
      </c>
      <c r="B8040" s="6" t="s">
        <v>7996</v>
      </c>
    </row>
    <row r="8041" spans="1:2" x14ac:dyDescent="0.3">
      <c r="A8041" s="7" t="str">
        <f>HYPERLINK("http://www.eatonpowersource.com/products/configure/pumps/details/02-125446-ccr","02-125446-CCR")</f>
        <v>02-125446-CCR</v>
      </c>
      <c r="B8041" s="8" t="s">
        <v>7997</v>
      </c>
    </row>
    <row r="8042" spans="1:2" x14ac:dyDescent="0.3">
      <c r="A8042" s="5" t="str">
        <f>HYPERLINK("http://www.eatonpowersource.com/products/configure/pumps/details/02-125448-aal","02-125448-AAL")</f>
        <v>02-125448-AAL</v>
      </c>
      <c r="B8042" s="6" t="s">
        <v>7998</v>
      </c>
    </row>
    <row r="8043" spans="1:2" x14ac:dyDescent="0.3">
      <c r="A8043" s="7" t="str">
        <f>HYPERLINK("http://www.eatonpowersource.com/products/configure/pumps/details/02-125454-aar","02-125454-AAR")</f>
        <v>02-125454-AAR</v>
      </c>
      <c r="B8043" s="8" t="s">
        <v>7999</v>
      </c>
    </row>
    <row r="8044" spans="1:2" x14ac:dyDescent="0.3">
      <c r="A8044" s="5" t="str">
        <f>HYPERLINK("http://www.eatonpowersource.com/products/configure/pumps/details/02-125502-aar","02-125502-AAR")</f>
        <v>02-125502-AAR</v>
      </c>
      <c r="B8044" s="6" t="s">
        <v>8000</v>
      </c>
    </row>
    <row r="8045" spans="1:2" x14ac:dyDescent="0.3">
      <c r="A8045" s="7" t="str">
        <f>HYPERLINK("http://www.eatonpowersource.com/products/configure/pumps/details/02-125503-aar","02-125503-AAR")</f>
        <v>02-125503-AAR</v>
      </c>
      <c r="B8045" s="8" t="s">
        <v>8001</v>
      </c>
    </row>
    <row r="8046" spans="1:2" x14ac:dyDescent="0.3">
      <c r="A8046" s="5" t="str">
        <f>HYPERLINK("http://www.eatonpowersource.com/products/configure/pumps/details/02-125504-aar","02-125504-AAR")</f>
        <v>02-125504-AAR</v>
      </c>
      <c r="B8046" s="6" t="s">
        <v>8002</v>
      </c>
    </row>
    <row r="8047" spans="1:2" x14ac:dyDescent="0.3">
      <c r="A8047" s="7" t="str">
        <f>HYPERLINK("http://www.eatonpowersource.com/products/configure/pumps/details/02-125504-car","02-125504-CAR")</f>
        <v>02-125504-CAR</v>
      </c>
      <c r="B8047" s="8" t="s">
        <v>8003</v>
      </c>
    </row>
    <row r="8048" spans="1:2" x14ac:dyDescent="0.3">
      <c r="A8048" s="5" t="str">
        <f>HYPERLINK("http://www.eatonpowersource.com/products/configure/pumps/details/02-125506-aal","02-125506-AAL")</f>
        <v>02-125506-AAL</v>
      </c>
      <c r="B8048" s="6" t="s">
        <v>8004</v>
      </c>
    </row>
    <row r="8049" spans="1:2" x14ac:dyDescent="0.3">
      <c r="A8049" s="7" t="str">
        <f>HYPERLINK("http://www.eatonpowersource.com/products/configure/pumps/details/02-125506-aar","02-125506-AAR")</f>
        <v>02-125506-AAR</v>
      </c>
      <c r="B8049" s="8" t="s">
        <v>8005</v>
      </c>
    </row>
    <row r="8050" spans="1:2" x14ac:dyDescent="0.3">
      <c r="A8050" s="5" t="str">
        <f>HYPERLINK("http://www.eatonpowersource.com/products/configure/pumps/details/02-125509-aar","02-125509-AAR")</f>
        <v>02-125509-AAR</v>
      </c>
      <c r="B8050" s="6" t="s">
        <v>8006</v>
      </c>
    </row>
    <row r="8051" spans="1:2" x14ac:dyDescent="0.3">
      <c r="A8051" s="7" t="str">
        <f>HYPERLINK("http://www.eatonpowersource.com/products/configure/pumps/details/02-125510-aar","02-125510-AAR")</f>
        <v>02-125510-AAR</v>
      </c>
      <c r="B8051" s="8" t="s">
        <v>8007</v>
      </c>
    </row>
    <row r="8052" spans="1:2" x14ac:dyDescent="0.3">
      <c r="A8052" s="5" t="str">
        <f>HYPERLINK("http://www.eatonpowersource.com/products/configure/pumps/details/02-125510-bar","02-125510-BAR")</f>
        <v>02-125510-BAR</v>
      </c>
      <c r="B8052" s="6" t="s">
        <v>8008</v>
      </c>
    </row>
    <row r="8053" spans="1:2" x14ac:dyDescent="0.3">
      <c r="A8053" s="7" t="str">
        <f>HYPERLINK("http://www.eatonpowersource.com/products/configure/pumps/details/02-125512-aar","02-125512-AAR")</f>
        <v>02-125512-AAR</v>
      </c>
      <c r="B8053" s="8" t="s">
        <v>8009</v>
      </c>
    </row>
    <row r="8054" spans="1:2" x14ac:dyDescent="0.3">
      <c r="A8054" s="5" t="str">
        <f>HYPERLINK("http://www.eatonpowersource.com/products/configure/pumps/details/02-125512-bar","02-125512-BAR")</f>
        <v>02-125512-BAR</v>
      </c>
      <c r="B8054" s="6" t="s">
        <v>8010</v>
      </c>
    </row>
    <row r="8055" spans="1:2" x14ac:dyDescent="0.3">
      <c r="A8055" s="7" t="str">
        <f>HYPERLINK("http://www.eatonpowersource.com/products/configure/pumps/details/02-125514-aar","02-125514-AAR")</f>
        <v>02-125514-AAR</v>
      </c>
      <c r="B8055" s="8" t="s">
        <v>8011</v>
      </c>
    </row>
    <row r="8056" spans="1:2" x14ac:dyDescent="0.3">
      <c r="A8056" s="5" t="str">
        <f>HYPERLINK("http://www.eatonpowersource.com/products/configure/pumps/details/02-125516-aar","02-125516-AAR")</f>
        <v>02-125516-AAR</v>
      </c>
      <c r="B8056" s="6" t="s">
        <v>8012</v>
      </c>
    </row>
    <row r="8057" spans="1:2" x14ac:dyDescent="0.3">
      <c r="A8057" s="7" t="str">
        <f>HYPERLINK("http://www.eatonpowersource.com/products/configure/pumps/details/02-125519-aar","02-125519-AAR")</f>
        <v>02-125519-AAR</v>
      </c>
      <c r="B8057" s="8" t="s">
        <v>8013</v>
      </c>
    </row>
    <row r="8058" spans="1:2" x14ac:dyDescent="0.3">
      <c r="A8058" s="5" t="str">
        <f>HYPERLINK("http://www.eatonpowersource.com/products/configure/pumps/details/02-125521-aar","02-125521-AAR")</f>
        <v>02-125521-AAR</v>
      </c>
      <c r="B8058" s="6" t="s">
        <v>8014</v>
      </c>
    </row>
    <row r="8059" spans="1:2" x14ac:dyDescent="0.3">
      <c r="A8059" s="7" t="str">
        <f>HYPERLINK("http://www.eatonpowersource.com/products/configure/pumps/details/02-125523-aar","02-125523-AAR")</f>
        <v>02-125523-AAR</v>
      </c>
      <c r="B8059" s="8" t="s">
        <v>8015</v>
      </c>
    </row>
    <row r="8060" spans="1:2" x14ac:dyDescent="0.3">
      <c r="A8060" s="5" t="str">
        <f>HYPERLINK("http://www.eatonpowersource.com/products/configure/pumps/details/02-125526-aar","02-125526-AAR")</f>
        <v>02-125526-AAR</v>
      </c>
      <c r="B8060" s="6" t="s">
        <v>8016</v>
      </c>
    </row>
    <row r="8061" spans="1:2" x14ac:dyDescent="0.3">
      <c r="A8061" s="7" t="str">
        <f>HYPERLINK("http://www.eatonpowersource.com/products/configure/pumps/details/02-125527-aar","02-125527-AAR")</f>
        <v>02-125527-AAR</v>
      </c>
      <c r="B8061" s="8" t="s">
        <v>8017</v>
      </c>
    </row>
    <row r="8062" spans="1:2" x14ac:dyDescent="0.3">
      <c r="A8062" s="5" t="str">
        <f>HYPERLINK("http://www.eatonpowersource.com/products/configure/pumps/details/02-125530-aar","02-125530-AAR")</f>
        <v>02-125530-AAR</v>
      </c>
      <c r="B8062" s="6" t="s">
        <v>8018</v>
      </c>
    </row>
    <row r="8063" spans="1:2" x14ac:dyDescent="0.3">
      <c r="A8063" s="7" t="str">
        <f>HYPERLINK("http://www.eatonpowersource.com/products/configure/pumps/details/02-125532-aar","02-125532-AAR")</f>
        <v>02-125532-AAR</v>
      </c>
      <c r="B8063" s="8" t="s">
        <v>8019</v>
      </c>
    </row>
    <row r="8064" spans="1:2" x14ac:dyDescent="0.3">
      <c r="A8064" s="5" t="str">
        <f>HYPERLINK("http://www.eatonpowersource.com/products/configure/pumps/details/02-125534-bbr","02-125534-BBR")</f>
        <v>02-125534-BBR</v>
      </c>
      <c r="B8064" s="6" t="s">
        <v>8020</v>
      </c>
    </row>
    <row r="8065" spans="1:2" x14ac:dyDescent="0.3">
      <c r="A8065" s="7" t="str">
        <f>HYPERLINK("http://www.eatonpowersource.com/products/configure/pumps/details/02-125538-aar","02-125538-AAR")</f>
        <v>02-125538-AAR</v>
      </c>
      <c r="B8065" s="8" t="s">
        <v>8021</v>
      </c>
    </row>
    <row r="8066" spans="1:2" x14ac:dyDescent="0.3">
      <c r="A8066" s="5" t="str">
        <f>HYPERLINK("http://www.eatonpowersource.com/products/configure/pumps/details/02-125548-aar","02-125548-AAR")</f>
        <v>02-125548-AAR</v>
      </c>
      <c r="B8066" s="6" t="s">
        <v>8022</v>
      </c>
    </row>
    <row r="8067" spans="1:2" x14ac:dyDescent="0.3">
      <c r="A8067" s="7" t="str">
        <f>HYPERLINK("http://www.eatonpowersource.com/products/configure/pumps/details/02-125552-aar","02-125552-AAR")</f>
        <v>02-125552-AAR</v>
      </c>
      <c r="B8067" s="8" t="s">
        <v>8023</v>
      </c>
    </row>
    <row r="8068" spans="1:2" x14ac:dyDescent="0.3">
      <c r="A8068" s="5" t="str">
        <f>HYPERLINK("http://www.eatonpowersource.com/products/configure/pumps/details/02-125553-ccr","02-125553-CCR")</f>
        <v>02-125553-CCR</v>
      </c>
      <c r="B8068" s="6" t="s">
        <v>8024</v>
      </c>
    </row>
    <row r="8069" spans="1:2" x14ac:dyDescent="0.3">
      <c r="A8069" s="7" t="str">
        <f>HYPERLINK("http://www.eatonpowersource.com/products/configure/pumps/details/02-125560-aa","02-125560-AA")</f>
        <v>02-125560-AA</v>
      </c>
      <c r="B8069" s="8" t="s">
        <v>8025</v>
      </c>
    </row>
    <row r="8070" spans="1:2" x14ac:dyDescent="0.3">
      <c r="A8070" s="5" t="str">
        <f>HYPERLINK("http://www.eatonpowersource.com/products/configure/pumps/details/02-125561-car","02-125561-CAR")</f>
        <v>02-125561-CAR</v>
      </c>
      <c r="B8070" s="6" t="s">
        <v>8026</v>
      </c>
    </row>
    <row r="8071" spans="1:2" x14ac:dyDescent="0.3">
      <c r="A8071" s="7" t="str">
        <f>HYPERLINK("http://www.eatonpowersource.com/products/configure/pumps/details/02-125562-aar","02-125562-AAR")</f>
        <v>02-125562-AAR</v>
      </c>
      <c r="B8071" s="8" t="s">
        <v>8027</v>
      </c>
    </row>
    <row r="8072" spans="1:2" x14ac:dyDescent="0.3">
      <c r="A8072" s="5" t="str">
        <f>HYPERLINK("http://www.eatonpowersource.com/products/configure/pumps/details/02-125562-car","02-125562-CAR")</f>
        <v>02-125562-CAR</v>
      </c>
      <c r="B8072" s="6" t="s">
        <v>8028</v>
      </c>
    </row>
    <row r="8073" spans="1:2" x14ac:dyDescent="0.3">
      <c r="A8073" s="7" t="str">
        <f>HYPERLINK("http://www.eatonpowersource.com/products/configure/pumps/details/02-125565-aar","02-125565-AAR")</f>
        <v>02-125565-AAR</v>
      </c>
      <c r="B8073" s="8" t="s">
        <v>8029</v>
      </c>
    </row>
    <row r="8074" spans="1:2" x14ac:dyDescent="0.3">
      <c r="A8074" s="5" t="str">
        <f>HYPERLINK("http://www.eatonpowersource.com/products/configure/pumps/details/02-125565-ccr","02-125565-CCR")</f>
        <v>02-125565-CCR</v>
      </c>
      <c r="B8074" s="6" t="s">
        <v>8030</v>
      </c>
    </row>
    <row r="8075" spans="1:2" x14ac:dyDescent="0.3">
      <c r="A8075" s="7" t="str">
        <f>HYPERLINK("http://www.eatonpowersource.com/products/configure/pumps/details/02-125566-ccr","02-125566-CCR")</f>
        <v>02-125566-CCR</v>
      </c>
      <c r="B8075" s="8" t="s">
        <v>8031</v>
      </c>
    </row>
    <row r="8076" spans="1:2" x14ac:dyDescent="0.3">
      <c r="A8076" s="5" t="str">
        <f>HYPERLINK("http://www.eatonpowersource.com/products/configure/pumps/details/02-125599-aar","02-125599-AAR")</f>
        <v>02-125599-AAR</v>
      </c>
      <c r="B8076" s="6" t="s">
        <v>8032</v>
      </c>
    </row>
    <row r="8077" spans="1:2" x14ac:dyDescent="0.3">
      <c r="A8077" s="7" t="str">
        <f>HYPERLINK("http://www.eatonpowersource.com/products/configure/pumps/details/02-125605-aar","02-125605-AAR")</f>
        <v>02-125605-AAR</v>
      </c>
      <c r="B8077" s="8" t="s">
        <v>8033</v>
      </c>
    </row>
    <row r="8078" spans="1:2" x14ac:dyDescent="0.3">
      <c r="A8078" s="5" t="str">
        <f>HYPERLINK("http://www.eatonpowersource.com/products/configure/pumps/details/02-125605-car","02-125605-CAR")</f>
        <v>02-125605-CAR</v>
      </c>
      <c r="B8078" s="6" t="s">
        <v>8034</v>
      </c>
    </row>
    <row r="8079" spans="1:2" x14ac:dyDescent="0.3">
      <c r="A8079" s="7" t="str">
        <f>HYPERLINK("http://www.eatonpowersource.com/products/configure/pumps/details/02-125607-aar","02-125607-AAR")</f>
        <v>02-125607-AAR</v>
      </c>
      <c r="B8079" s="8" t="s">
        <v>8035</v>
      </c>
    </row>
    <row r="8080" spans="1:2" x14ac:dyDescent="0.3">
      <c r="A8080" s="5" t="str">
        <f>HYPERLINK("http://www.eatonpowersource.com/products/configure/pumps/details/02-125607-car","02-125607-CAR")</f>
        <v>02-125607-CAR</v>
      </c>
      <c r="B8080" s="6" t="s">
        <v>8036</v>
      </c>
    </row>
    <row r="8081" spans="1:2" x14ac:dyDescent="0.3">
      <c r="A8081" s="7" t="str">
        <f>HYPERLINK("http://www.eatonpowersource.com/products/configure/pumps/details/02-125609-aar","02-125609-AAR")</f>
        <v>02-125609-AAR</v>
      </c>
      <c r="B8081" s="8" t="s">
        <v>8037</v>
      </c>
    </row>
    <row r="8082" spans="1:2" x14ac:dyDescent="0.3">
      <c r="A8082" s="5" t="str">
        <f>HYPERLINK("http://www.eatonpowersource.com/products/configure/pumps/details/02-125609-car","02-125609-CAR")</f>
        <v>02-125609-CAR</v>
      </c>
      <c r="B8082" s="6" t="s">
        <v>8038</v>
      </c>
    </row>
    <row r="8083" spans="1:2" x14ac:dyDescent="0.3">
      <c r="A8083" s="7" t="str">
        <f>HYPERLINK("http://www.eatonpowersource.com/products/configure/pumps/details/02-125618-aar","02-125618-AAR")</f>
        <v>02-125618-AAR</v>
      </c>
      <c r="B8083" s="8" t="s">
        <v>8039</v>
      </c>
    </row>
    <row r="8084" spans="1:2" x14ac:dyDescent="0.3">
      <c r="A8084" s="5" t="str">
        <f>HYPERLINK("http://www.eatonpowersource.com/products/configure/pumps/details/02-125618-ccr","02-125618-CCR")</f>
        <v>02-125618-CCR</v>
      </c>
      <c r="B8084" s="6" t="s">
        <v>8040</v>
      </c>
    </row>
    <row r="8085" spans="1:2" x14ac:dyDescent="0.3">
      <c r="A8085" s="7" t="str">
        <f>HYPERLINK("http://www.eatonpowersource.com/products/configure/pumps/details/02-125618-dar","02-125618-DAR")</f>
        <v>02-125618-DAR</v>
      </c>
      <c r="B8085" s="8" t="s">
        <v>8041</v>
      </c>
    </row>
    <row r="8086" spans="1:2" x14ac:dyDescent="0.3">
      <c r="A8086" s="5" t="str">
        <f>HYPERLINK("http://www.eatonpowersource.com/products/configure/pumps/details/02-125620-aar","02-125620-AAR")</f>
        <v>02-125620-AAR</v>
      </c>
      <c r="B8086" s="6" t="s">
        <v>8042</v>
      </c>
    </row>
    <row r="8087" spans="1:2" x14ac:dyDescent="0.3">
      <c r="A8087" s="7" t="str">
        <f>HYPERLINK("http://www.eatonpowersource.com/products/configure/pumps/details/02-125620-ccr","02-125620-CCR")</f>
        <v>02-125620-CCR</v>
      </c>
      <c r="B8087" s="8" t="s">
        <v>8043</v>
      </c>
    </row>
    <row r="8088" spans="1:2" x14ac:dyDescent="0.3">
      <c r="A8088" s="5" t="str">
        <f>HYPERLINK("http://www.eatonpowersource.com/products/configure/pumps/details/02-125622-aar","02-125622-AAR")</f>
        <v>02-125622-AAR</v>
      </c>
      <c r="B8088" s="6" t="s">
        <v>8044</v>
      </c>
    </row>
    <row r="8089" spans="1:2" x14ac:dyDescent="0.3">
      <c r="A8089" s="7" t="str">
        <f>HYPERLINK("http://www.eatonpowersource.com/products/configure/pumps/details/02-125624-aar","02-125624-AAR")</f>
        <v>02-125624-AAR</v>
      </c>
      <c r="B8089" s="8" t="s">
        <v>8045</v>
      </c>
    </row>
    <row r="8090" spans="1:2" x14ac:dyDescent="0.3">
      <c r="A8090" s="5" t="str">
        <f>HYPERLINK("http://www.eatonpowersource.com/products/configure/pumps/details/02-125624-dar","02-125624-DAR")</f>
        <v>02-125624-DAR</v>
      </c>
      <c r="B8090" s="6" t="s">
        <v>8046</v>
      </c>
    </row>
    <row r="8091" spans="1:2" x14ac:dyDescent="0.3">
      <c r="A8091" s="7" t="str">
        <f>HYPERLINK("http://www.eatonpowersource.com/products/configure/pumps/details/02-125626-aar","02-125626-AAR")</f>
        <v>02-125626-AAR</v>
      </c>
      <c r="B8091" s="8" t="s">
        <v>8047</v>
      </c>
    </row>
    <row r="8092" spans="1:2" x14ac:dyDescent="0.3">
      <c r="A8092" s="5" t="str">
        <f>HYPERLINK("http://www.eatonpowersource.com/products/configure/pumps/details/02-125637-bal","02-125637-BAL")</f>
        <v>02-125637-BAL</v>
      </c>
      <c r="B8092" s="6" t="s">
        <v>8048</v>
      </c>
    </row>
    <row r="8093" spans="1:2" x14ac:dyDescent="0.3">
      <c r="A8093" s="7" t="str">
        <f>HYPERLINK("http://www.eatonpowersource.com/products/configure/pumps/details/02-125648-ccr","02-125648-CCR")</f>
        <v>02-125648-CCR</v>
      </c>
      <c r="B8093" s="8" t="s">
        <v>8049</v>
      </c>
    </row>
    <row r="8094" spans="1:2" x14ac:dyDescent="0.3">
      <c r="A8094" s="5" t="str">
        <f>HYPERLINK("http://www.eatonpowersource.com/products/configure/pumps/details/02-125651-aar","02-125651-AAR")</f>
        <v>02-125651-AAR</v>
      </c>
      <c r="B8094" s="6" t="s">
        <v>8050</v>
      </c>
    </row>
    <row r="8095" spans="1:2" x14ac:dyDescent="0.3">
      <c r="A8095" s="7" t="str">
        <f>HYPERLINK("http://www.eatonpowersource.com/products/configure/pumps/details/02-125651-ccr","02-125651-CCR")</f>
        <v>02-125651-CCR</v>
      </c>
      <c r="B8095" s="8" t="s">
        <v>8051</v>
      </c>
    </row>
    <row r="8096" spans="1:2" x14ac:dyDescent="0.3">
      <c r="A8096" s="5" t="str">
        <f>HYPERLINK("http://www.eatonpowersource.com/products/configure/pumps/details/02-125654-aar","02-125654-AAR")</f>
        <v>02-125654-AAR</v>
      </c>
      <c r="B8096" s="6" t="s">
        <v>8052</v>
      </c>
    </row>
    <row r="8097" spans="1:2" x14ac:dyDescent="0.3">
      <c r="A8097" s="7" t="str">
        <f>HYPERLINK("http://www.eatonpowersource.com/products/configure/pumps/details/02-137103-ar","02-137103-AR")</f>
        <v>02-137103-AR</v>
      </c>
      <c r="B8097" s="8" t="s">
        <v>8053</v>
      </c>
    </row>
    <row r="8098" spans="1:2" x14ac:dyDescent="0.3">
      <c r="A8098" s="5" t="str">
        <f>HYPERLINK("http://www.eatonpowersource.com/products/configure/pumps/details/02-137103-br","02-137103-BR")</f>
        <v>02-137103-BR</v>
      </c>
      <c r="B8098" s="6" t="s">
        <v>8054</v>
      </c>
    </row>
    <row r="8099" spans="1:2" x14ac:dyDescent="0.3">
      <c r="A8099" s="7" t="str">
        <f>HYPERLINK("http://www.eatonpowersource.com/products/configure/pumps/details/02-137103-cr","02-137103-CR")</f>
        <v>02-137103-CR</v>
      </c>
      <c r="B8099" s="8" t="s">
        <v>8055</v>
      </c>
    </row>
    <row r="8100" spans="1:2" x14ac:dyDescent="0.3">
      <c r="A8100" s="5" t="str">
        <f>HYPERLINK("http://www.eatonpowersource.com/products/configure/pumps/details/02-137104-al","02-137104-AL")</f>
        <v>02-137104-AL</v>
      </c>
      <c r="B8100" s="6" t="s">
        <v>8056</v>
      </c>
    </row>
    <row r="8101" spans="1:2" x14ac:dyDescent="0.3">
      <c r="A8101" s="7" t="str">
        <f>HYPERLINK("http://www.eatonpowersource.com/products/configure/pumps/details/02-137104-ar","02-137104-AR")</f>
        <v>02-137104-AR</v>
      </c>
      <c r="B8101" s="8" t="s">
        <v>8057</v>
      </c>
    </row>
    <row r="8102" spans="1:2" x14ac:dyDescent="0.3">
      <c r="A8102" s="5" t="str">
        <f>HYPERLINK("http://www.eatonpowersource.com/products/configure/pumps/details/02-137104-br","02-137104-BR")</f>
        <v>02-137104-BR</v>
      </c>
      <c r="B8102" s="6" t="s">
        <v>8058</v>
      </c>
    </row>
    <row r="8103" spans="1:2" x14ac:dyDescent="0.3">
      <c r="A8103" s="7" t="str">
        <f>HYPERLINK("http://www.eatonpowersource.com/products/configure/pumps/details/02-137104-cr","02-137104-CR")</f>
        <v>02-137104-CR</v>
      </c>
      <c r="B8103" s="8" t="s">
        <v>8059</v>
      </c>
    </row>
    <row r="8104" spans="1:2" x14ac:dyDescent="0.3">
      <c r="A8104" s="5" t="str">
        <f>HYPERLINK("http://www.eatonpowersource.com/products/configure/pumps/details/02-137105-ar","02-137105-AR")</f>
        <v>02-137105-AR</v>
      </c>
      <c r="B8104" s="6" t="s">
        <v>8060</v>
      </c>
    </row>
    <row r="8105" spans="1:2" x14ac:dyDescent="0.3">
      <c r="A8105" s="7" t="str">
        <f>HYPERLINK("http://www.eatonpowersource.com/products/configure/pumps/details/02-137106-al","02-137106-AL")</f>
        <v>02-137106-AL</v>
      </c>
      <c r="B8105" s="8" t="s">
        <v>8061</v>
      </c>
    </row>
    <row r="8106" spans="1:2" x14ac:dyDescent="0.3">
      <c r="A8106" s="5" t="str">
        <f>HYPERLINK("http://www.eatonpowersource.com/products/configure/pumps/details/02-137106-ar","02-137106-AR")</f>
        <v>02-137106-AR</v>
      </c>
      <c r="B8106" s="6" t="s">
        <v>8062</v>
      </c>
    </row>
    <row r="8107" spans="1:2" x14ac:dyDescent="0.3">
      <c r="A8107" s="7" t="str">
        <f>HYPERLINK("http://www.eatonpowersource.com/products/configure/pumps/details/02-137106-cr","02-137106-CR")</f>
        <v>02-137106-CR</v>
      </c>
      <c r="B8107" s="8" t="s">
        <v>8063</v>
      </c>
    </row>
    <row r="8108" spans="1:2" x14ac:dyDescent="0.3">
      <c r="A8108" s="5" t="str">
        <f>HYPERLINK("http://www.eatonpowersource.com/products/configure/pumps/details/02-137107-ar","02-137107-AR")</f>
        <v>02-137107-AR</v>
      </c>
      <c r="B8108" s="6" t="s">
        <v>8064</v>
      </c>
    </row>
    <row r="8109" spans="1:2" x14ac:dyDescent="0.3">
      <c r="A8109" s="7" t="str">
        <f>HYPERLINK("http://www.eatonpowersource.com/products/configure/pumps/details/02-137109-al","02-137109-AL")</f>
        <v>02-137109-AL</v>
      </c>
      <c r="B8109" s="8" t="s">
        <v>8065</v>
      </c>
    </row>
    <row r="8110" spans="1:2" x14ac:dyDescent="0.3">
      <c r="A8110" s="5" t="str">
        <f>HYPERLINK("http://www.eatonpowersource.com/products/configure/pumps/details/02-137109-ar","02-137109-AR")</f>
        <v>02-137109-AR</v>
      </c>
      <c r="B8110" s="6" t="s">
        <v>8066</v>
      </c>
    </row>
    <row r="8111" spans="1:2" x14ac:dyDescent="0.3">
      <c r="A8111" s="7" t="str">
        <f>HYPERLINK("http://www.eatonpowersource.com/products/configure/pumps/details/02-137109-cl","02-137109-CL")</f>
        <v>02-137109-CL</v>
      </c>
      <c r="B8111" s="8" t="s">
        <v>8067</v>
      </c>
    </row>
    <row r="8112" spans="1:2" x14ac:dyDescent="0.3">
      <c r="A8112" s="5" t="str">
        <f>HYPERLINK("http://www.eatonpowersource.com/products/configure/pumps/details/02-137109-cr","02-137109-CR")</f>
        <v>02-137109-CR</v>
      </c>
      <c r="B8112" s="6" t="s">
        <v>8068</v>
      </c>
    </row>
    <row r="8113" spans="1:2" x14ac:dyDescent="0.3">
      <c r="A8113" s="7" t="str">
        <f>HYPERLINK("http://www.eatonpowersource.com/products/configure/pumps/details/02-137110-ar","02-137110-AR")</f>
        <v>02-137110-AR</v>
      </c>
      <c r="B8113" s="8" t="s">
        <v>8069</v>
      </c>
    </row>
    <row r="8114" spans="1:2" x14ac:dyDescent="0.3">
      <c r="A8114" s="5" t="str">
        <f>HYPERLINK("http://www.eatonpowersource.com/products/configure/pumps/details/02-137110-cl","02-137110-CL")</f>
        <v>02-137110-CL</v>
      </c>
      <c r="B8114" s="6" t="s">
        <v>8070</v>
      </c>
    </row>
    <row r="8115" spans="1:2" x14ac:dyDescent="0.3">
      <c r="A8115" s="7" t="str">
        <f>HYPERLINK("http://www.eatonpowersource.com/products/configure/pumps/details/02-137110-cr","02-137110-CR")</f>
        <v>02-137110-CR</v>
      </c>
      <c r="B8115" s="8" t="s">
        <v>8071</v>
      </c>
    </row>
    <row r="8116" spans="1:2" x14ac:dyDescent="0.3">
      <c r="A8116" s="5" t="str">
        <f>HYPERLINK("http://www.eatonpowersource.com/products/configure/pumps/details/02-137110-dr","02-137110-DR")</f>
        <v>02-137110-DR</v>
      </c>
      <c r="B8116" s="6" t="s">
        <v>8072</v>
      </c>
    </row>
    <row r="8117" spans="1:2" x14ac:dyDescent="0.3">
      <c r="A8117" s="7" t="str">
        <f>HYPERLINK("http://www.eatonpowersource.com/products/configure/pumps/details/02-137113-al","02-137113-AL")</f>
        <v>02-137113-AL</v>
      </c>
      <c r="B8117" s="8" t="s">
        <v>8073</v>
      </c>
    </row>
    <row r="8118" spans="1:2" x14ac:dyDescent="0.3">
      <c r="A8118" s="5" t="str">
        <f>HYPERLINK("http://www.eatonpowersource.com/products/configure/pumps/details/02-137113-ar","02-137113-AR")</f>
        <v>02-137113-AR</v>
      </c>
      <c r="B8118" s="6" t="s">
        <v>8074</v>
      </c>
    </row>
    <row r="8119" spans="1:2" x14ac:dyDescent="0.3">
      <c r="A8119" s="7" t="str">
        <f>HYPERLINK("http://www.eatonpowersource.com/products/configure/pumps/details/02-137113-br","02-137113-BR")</f>
        <v>02-137113-BR</v>
      </c>
      <c r="B8119" s="8" t="s">
        <v>8075</v>
      </c>
    </row>
    <row r="8120" spans="1:2" x14ac:dyDescent="0.3">
      <c r="A8120" s="5" t="str">
        <f>HYPERLINK("http://www.eatonpowersource.com/products/configure/pumps/details/02-137113-cl","02-137113-CL")</f>
        <v>02-137113-CL</v>
      </c>
      <c r="B8120" s="6" t="s">
        <v>8076</v>
      </c>
    </row>
    <row r="8121" spans="1:2" x14ac:dyDescent="0.3">
      <c r="A8121" s="7" t="str">
        <f>HYPERLINK("http://www.eatonpowersource.com/products/configure/pumps/details/02-137113-cr","02-137113-CR")</f>
        <v>02-137113-CR</v>
      </c>
      <c r="B8121" s="8" t="s">
        <v>8077</v>
      </c>
    </row>
    <row r="8122" spans="1:2" x14ac:dyDescent="0.3">
      <c r="A8122" s="5" t="str">
        <f>HYPERLINK("http://www.eatonpowersource.com/products/configure/pumps/details/02-137113-dr","02-137113-DR")</f>
        <v>02-137113-DR</v>
      </c>
      <c r="B8122" s="6" t="s">
        <v>8078</v>
      </c>
    </row>
    <row r="8123" spans="1:2" x14ac:dyDescent="0.3">
      <c r="A8123" s="7" t="str">
        <f>HYPERLINK("http://www.eatonpowersource.com/products/configure/pumps/details/02-137114-ar","02-137114-AR")</f>
        <v>02-137114-AR</v>
      </c>
      <c r="B8123" s="8" t="s">
        <v>8079</v>
      </c>
    </row>
    <row r="8124" spans="1:2" x14ac:dyDescent="0.3">
      <c r="A8124" s="5" t="str">
        <f>HYPERLINK("http://www.eatonpowersource.com/products/configure/pumps/details/02-137114-br","02-137114-BR")</f>
        <v>02-137114-BR</v>
      </c>
      <c r="B8124" s="6" t="s">
        <v>8080</v>
      </c>
    </row>
    <row r="8125" spans="1:2" x14ac:dyDescent="0.3">
      <c r="A8125" s="7" t="str">
        <f>HYPERLINK("http://www.eatonpowersource.com/products/configure/pumps/details/02-137114-cr","02-137114-CR")</f>
        <v>02-137114-CR</v>
      </c>
      <c r="B8125" s="8" t="s">
        <v>8081</v>
      </c>
    </row>
    <row r="8126" spans="1:2" x14ac:dyDescent="0.3">
      <c r="A8126" s="5" t="str">
        <f>HYPERLINK("http://www.eatonpowersource.com/products/configure/pumps/details/02-137117-ar","02-137117-AR")</f>
        <v>02-137117-AR</v>
      </c>
      <c r="B8126" s="6" t="s">
        <v>8082</v>
      </c>
    </row>
    <row r="8127" spans="1:2" x14ac:dyDescent="0.3">
      <c r="A8127" s="7" t="str">
        <f>HYPERLINK("http://www.eatonpowersource.com/products/configure/pumps/details/02-137117-cl","02-137117-CL")</f>
        <v>02-137117-CL</v>
      </c>
      <c r="B8127" s="8" t="s">
        <v>8083</v>
      </c>
    </row>
    <row r="8128" spans="1:2" x14ac:dyDescent="0.3">
      <c r="A8128" s="5" t="str">
        <f>HYPERLINK("http://www.eatonpowersource.com/products/configure/pumps/details/02-137117-cr","02-137117-CR")</f>
        <v>02-137117-CR</v>
      </c>
      <c r="B8128" s="6" t="s">
        <v>8084</v>
      </c>
    </row>
    <row r="8129" spans="1:2" x14ac:dyDescent="0.3">
      <c r="A8129" s="7" t="str">
        <f>HYPERLINK("http://www.eatonpowersource.com/products/configure/pumps/details/02-137119-ar","02-137119-AR")</f>
        <v>02-137119-AR</v>
      </c>
      <c r="B8129" s="8" t="s">
        <v>8085</v>
      </c>
    </row>
    <row r="8130" spans="1:2" x14ac:dyDescent="0.3">
      <c r="A8130" s="5" t="str">
        <f>HYPERLINK("http://www.eatonpowersource.com/products/configure/pumps/details/02-137119-dl","02-137119-DL")</f>
        <v>02-137119-DL</v>
      </c>
      <c r="B8130" s="6" t="s">
        <v>8086</v>
      </c>
    </row>
    <row r="8131" spans="1:2" x14ac:dyDescent="0.3">
      <c r="A8131" s="7" t="str">
        <f>HYPERLINK("http://www.eatonpowersource.com/products/configure/pumps/details/02-137124-ar","02-137124-AR")</f>
        <v>02-137124-AR</v>
      </c>
      <c r="B8131" s="8" t="s">
        <v>8087</v>
      </c>
    </row>
    <row r="8132" spans="1:2" x14ac:dyDescent="0.3">
      <c r="A8132" s="5" t="str">
        <f>HYPERLINK("http://www.eatonpowersource.com/products/configure/pumps/details/02-137124-br","02-137124-BR")</f>
        <v>02-137124-BR</v>
      </c>
      <c r="B8132" s="6" t="s">
        <v>8088</v>
      </c>
    </row>
    <row r="8133" spans="1:2" x14ac:dyDescent="0.3">
      <c r="A8133" s="7" t="str">
        <f>HYPERLINK("http://www.eatonpowersource.com/products/configure/pumps/details/02-137124-cr","02-137124-CR")</f>
        <v>02-137124-CR</v>
      </c>
      <c r="B8133" s="8" t="s">
        <v>8089</v>
      </c>
    </row>
    <row r="8134" spans="1:2" x14ac:dyDescent="0.3">
      <c r="A8134" s="5" t="str">
        <f>HYPERLINK("http://www.eatonpowersource.com/products/configure/pumps/details/02-137124-dr","02-137124-DR")</f>
        <v>02-137124-DR</v>
      </c>
      <c r="B8134" s="6" t="s">
        <v>8090</v>
      </c>
    </row>
    <row r="8135" spans="1:2" x14ac:dyDescent="0.3">
      <c r="A8135" s="7" t="str">
        <f>HYPERLINK("http://www.eatonpowersource.com/products/configure/pumps/details/02-137125-ar","02-137125-AR")</f>
        <v>02-137125-AR</v>
      </c>
      <c r="B8135" s="8" t="s">
        <v>8091</v>
      </c>
    </row>
    <row r="8136" spans="1:2" x14ac:dyDescent="0.3">
      <c r="A8136" s="5" t="str">
        <f>HYPERLINK("http://www.eatonpowersource.com/products/configure/pumps/details/02-137126-al","02-137126-AL")</f>
        <v>02-137126-AL</v>
      </c>
      <c r="B8136" s="6" t="s">
        <v>8092</v>
      </c>
    </row>
    <row r="8137" spans="1:2" x14ac:dyDescent="0.3">
      <c r="A8137" s="7" t="str">
        <f>HYPERLINK("http://www.eatonpowersource.com/products/configure/pumps/details/02-137126-ar","02-137126-AR")</f>
        <v>02-137126-AR</v>
      </c>
      <c r="B8137" s="8" t="s">
        <v>8093</v>
      </c>
    </row>
    <row r="8138" spans="1:2" x14ac:dyDescent="0.3">
      <c r="A8138" s="5" t="str">
        <f>HYPERLINK("http://www.eatonpowersource.com/products/configure/pumps/details/02-137126-br","02-137126-BR")</f>
        <v>02-137126-BR</v>
      </c>
      <c r="B8138" s="6" t="s">
        <v>8094</v>
      </c>
    </row>
    <row r="8139" spans="1:2" x14ac:dyDescent="0.3">
      <c r="A8139" s="7" t="str">
        <f>HYPERLINK("http://www.eatonpowersource.com/products/configure/pumps/details/02-137126-cr","02-137126-CR")</f>
        <v>02-137126-CR</v>
      </c>
      <c r="B8139" s="8" t="s">
        <v>8095</v>
      </c>
    </row>
    <row r="8140" spans="1:2" x14ac:dyDescent="0.3">
      <c r="A8140" s="5" t="str">
        <f>HYPERLINK("http://www.eatonpowersource.com/products/configure/pumps/details/02-137126-dr","02-137126-DR")</f>
        <v>02-137126-DR</v>
      </c>
      <c r="B8140" s="6" t="s">
        <v>8096</v>
      </c>
    </row>
    <row r="8141" spans="1:2" x14ac:dyDescent="0.3">
      <c r="A8141" s="7" t="str">
        <f>HYPERLINK("http://www.eatonpowersource.com/products/configure/pumps/details/02-137127-ar","02-137127-AR")</f>
        <v>02-137127-AR</v>
      </c>
      <c r="B8141" s="8" t="s">
        <v>8097</v>
      </c>
    </row>
    <row r="8142" spans="1:2" x14ac:dyDescent="0.3">
      <c r="A8142" s="5" t="str">
        <f>HYPERLINK("http://www.eatonpowersource.com/products/configure/pumps/details/02-137128-ar","02-137128-AR")</f>
        <v>02-137128-AR</v>
      </c>
      <c r="B8142" s="6" t="s">
        <v>8098</v>
      </c>
    </row>
    <row r="8143" spans="1:2" x14ac:dyDescent="0.3">
      <c r="A8143" s="7" t="str">
        <f>HYPERLINK("http://www.eatonpowersource.com/products/configure/pumps/details/02-137128-cr","02-137128-CR")</f>
        <v>02-137128-CR</v>
      </c>
      <c r="B8143" s="8" t="s">
        <v>8099</v>
      </c>
    </row>
    <row r="8144" spans="1:2" x14ac:dyDescent="0.3">
      <c r="A8144" s="5" t="str">
        <f>HYPERLINK("http://www.eatonpowersource.com/products/configure/pumps/details/02-137129-al","02-137129-AL")</f>
        <v>02-137129-AL</v>
      </c>
      <c r="B8144" s="6" t="s">
        <v>8100</v>
      </c>
    </row>
    <row r="8145" spans="1:2" x14ac:dyDescent="0.3">
      <c r="A8145" s="7" t="str">
        <f>HYPERLINK("http://www.eatonpowersource.com/products/configure/pumps/details/02-137129-ar","02-137129-AR")</f>
        <v>02-137129-AR</v>
      </c>
      <c r="B8145" s="8" t="s">
        <v>8101</v>
      </c>
    </row>
    <row r="8146" spans="1:2" x14ac:dyDescent="0.3">
      <c r="A8146" s="5" t="str">
        <f>HYPERLINK("http://www.eatonpowersource.com/products/configure/pumps/details/02-137129-bl","02-137129-BL")</f>
        <v>02-137129-BL</v>
      </c>
      <c r="B8146" s="6" t="s">
        <v>8102</v>
      </c>
    </row>
    <row r="8147" spans="1:2" x14ac:dyDescent="0.3">
      <c r="A8147" s="7" t="str">
        <f>HYPERLINK("http://www.eatonpowersource.com/products/configure/pumps/details/02-137129-br","02-137129-BR")</f>
        <v>02-137129-BR</v>
      </c>
      <c r="B8147" s="8" t="s">
        <v>8103</v>
      </c>
    </row>
    <row r="8148" spans="1:2" x14ac:dyDescent="0.3">
      <c r="A8148" s="5" t="str">
        <f>HYPERLINK("http://www.eatonpowersource.com/products/configure/pumps/details/02-137129-cl","02-137129-CL")</f>
        <v>02-137129-CL</v>
      </c>
      <c r="B8148" s="6" t="s">
        <v>8104</v>
      </c>
    </row>
    <row r="8149" spans="1:2" x14ac:dyDescent="0.3">
      <c r="A8149" s="7" t="str">
        <f>HYPERLINK("http://www.eatonpowersource.com/products/configure/pumps/details/02-137129-cr","02-137129-CR")</f>
        <v>02-137129-CR</v>
      </c>
      <c r="B8149" s="8" t="s">
        <v>8105</v>
      </c>
    </row>
    <row r="8150" spans="1:2" x14ac:dyDescent="0.3">
      <c r="A8150" s="5" t="str">
        <f>HYPERLINK("http://www.eatonpowersource.com/products/configure/pumps/details/02-137129-dr","02-137129-DR")</f>
        <v>02-137129-DR</v>
      </c>
      <c r="B8150" s="6" t="s">
        <v>8106</v>
      </c>
    </row>
    <row r="8151" spans="1:2" x14ac:dyDescent="0.3">
      <c r="A8151" s="7" t="str">
        <f>HYPERLINK("http://www.eatonpowersource.com/products/configure/pumps/details/02-137130-ar","02-137130-AR")</f>
        <v>02-137130-AR</v>
      </c>
      <c r="B8151" s="8" t="s">
        <v>8107</v>
      </c>
    </row>
    <row r="8152" spans="1:2" x14ac:dyDescent="0.3">
      <c r="A8152" s="5" t="str">
        <f>HYPERLINK("http://www.eatonpowersource.com/products/configure/pumps/details/02-137131-ar","02-137131-AR")</f>
        <v>02-137131-AR</v>
      </c>
      <c r="B8152" s="6" t="s">
        <v>8108</v>
      </c>
    </row>
    <row r="8153" spans="1:2" x14ac:dyDescent="0.3">
      <c r="A8153" s="7" t="str">
        <f>HYPERLINK("http://www.eatonpowersource.com/products/configure/pumps/details/02-137132-ar","02-137132-AR")</f>
        <v>02-137132-AR</v>
      </c>
      <c r="B8153" s="8" t="s">
        <v>8109</v>
      </c>
    </row>
    <row r="8154" spans="1:2" x14ac:dyDescent="0.3">
      <c r="A8154" s="5" t="str">
        <f>HYPERLINK("http://www.eatonpowersource.com/products/configure/pumps/details/02-137132-bl","02-137132-BL")</f>
        <v>02-137132-BL</v>
      </c>
      <c r="B8154" s="6" t="s">
        <v>8110</v>
      </c>
    </row>
    <row r="8155" spans="1:2" x14ac:dyDescent="0.3">
      <c r="A8155" s="7" t="str">
        <f>HYPERLINK("http://www.eatonpowersource.com/products/configure/pumps/details/02-137132-br","02-137132-BR")</f>
        <v>02-137132-BR</v>
      </c>
      <c r="B8155" s="8" t="s">
        <v>8111</v>
      </c>
    </row>
    <row r="8156" spans="1:2" x14ac:dyDescent="0.3">
      <c r="A8156" s="5" t="str">
        <f>HYPERLINK("http://www.eatonpowersource.com/products/configure/pumps/details/02-137132-cr","02-137132-CR")</f>
        <v>02-137132-CR</v>
      </c>
      <c r="B8156" s="6" t="s">
        <v>8112</v>
      </c>
    </row>
    <row r="8157" spans="1:2" x14ac:dyDescent="0.3">
      <c r="A8157" s="7" t="str">
        <f>HYPERLINK("http://www.eatonpowersource.com/products/configure/pumps/details/02-137132-dr","02-137132-DR")</f>
        <v>02-137132-DR</v>
      </c>
      <c r="B8157" s="8" t="s">
        <v>8113</v>
      </c>
    </row>
    <row r="8158" spans="1:2" x14ac:dyDescent="0.3">
      <c r="A8158" s="5" t="str">
        <f>HYPERLINK("http://www.eatonpowersource.com/products/configure/pumps/details/02-137133-ar","02-137133-AR")</f>
        <v>02-137133-AR</v>
      </c>
      <c r="B8158" s="6" t="s">
        <v>8114</v>
      </c>
    </row>
    <row r="8159" spans="1:2" x14ac:dyDescent="0.3">
      <c r="A8159" s="7" t="str">
        <f>HYPERLINK("http://www.eatonpowersource.com/products/configure/pumps/details/02-137134-ar","02-137134-AR")</f>
        <v>02-137134-AR</v>
      </c>
      <c r="B8159" s="8" t="s">
        <v>8115</v>
      </c>
    </row>
    <row r="8160" spans="1:2" x14ac:dyDescent="0.3">
      <c r="A8160" s="5" t="str">
        <f>HYPERLINK("http://www.eatonpowersource.com/products/configure/pumps/details/02-137135-bl","02-137135-BL")</f>
        <v>02-137135-BL</v>
      </c>
      <c r="B8160" s="6" t="s">
        <v>8116</v>
      </c>
    </row>
    <row r="8161" spans="1:2" x14ac:dyDescent="0.3">
      <c r="A8161" s="7" t="str">
        <f>HYPERLINK("http://www.eatonpowersource.com/products/configure/pumps/details/02-137135-br","02-137135-BR")</f>
        <v>02-137135-BR</v>
      </c>
      <c r="B8161" s="8" t="s">
        <v>8117</v>
      </c>
    </row>
    <row r="8162" spans="1:2" x14ac:dyDescent="0.3">
      <c r="A8162" s="5" t="str">
        <f>HYPERLINK("http://www.eatonpowersource.com/products/configure/pumps/details/02-137140-ar","02-137140-AR")</f>
        <v>02-137140-AR</v>
      </c>
      <c r="B8162" s="6" t="s">
        <v>8118</v>
      </c>
    </row>
    <row r="8163" spans="1:2" x14ac:dyDescent="0.3">
      <c r="A8163" s="7" t="str">
        <f>HYPERLINK("http://www.eatonpowersource.com/products/configure/pumps/details/02-137140-cl","02-137140-CL")</f>
        <v>02-137140-CL</v>
      </c>
      <c r="B8163" s="8" t="s">
        <v>8119</v>
      </c>
    </row>
    <row r="8164" spans="1:2" x14ac:dyDescent="0.3">
      <c r="A8164" s="5" t="str">
        <f>HYPERLINK("http://www.eatonpowersource.com/products/configure/pumps/details/02-137140-cr","02-137140-CR")</f>
        <v>02-137140-CR</v>
      </c>
      <c r="B8164" s="6" t="s">
        <v>8120</v>
      </c>
    </row>
    <row r="8165" spans="1:2" x14ac:dyDescent="0.3">
      <c r="A8165" s="7" t="str">
        <f>HYPERLINK("http://www.eatonpowersource.com/products/configure/pumps/details/02-137141-ar","02-137141-AR")</f>
        <v>02-137141-AR</v>
      </c>
      <c r="B8165" s="8" t="s">
        <v>8121</v>
      </c>
    </row>
    <row r="8166" spans="1:2" x14ac:dyDescent="0.3">
      <c r="A8166" s="5" t="str">
        <f>HYPERLINK("http://www.eatonpowersource.com/products/configure/pumps/details/02-137141-br","02-137141-BR")</f>
        <v>02-137141-BR</v>
      </c>
      <c r="B8166" s="6" t="s">
        <v>8122</v>
      </c>
    </row>
    <row r="8167" spans="1:2" x14ac:dyDescent="0.3">
      <c r="A8167" s="7" t="str">
        <f>HYPERLINK("http://www.eatonpowersource.com/products/configure/pumps/details/02-137142-ar","02-137142-AR")</f>
        <v>02-137142-AR</v>
      </c>
      <c r="B8167" s="8" t="s">
        <v>8123</v>
      </c>
    </row>
    <row r="8168" spans="1:2" x14ac:dyDescent="0.3">
      <c r="A8168" s="5" t="str">
        <f>HYPERLINK("http://www.eatonpowersource.com/products/configure/pumps/details/02-137142-dr","02-137142-DR")</f>
        <v>02-137142-DR</v>
      </c>
      <c r="B8168" s="6" t="s">
        <v>8124</v>
      </c>
    </row>
    <row r="8169" spans="1:2" x14ac:dyDescent="0.3">
      <c r="A8169" s="7" t="str">
        <f>HYPERLINK("http://www.eatonpowersource.com/products/configure/pumps/details/02-137143-ar","02-137143-AR")</f>
        <v>02-137143-AR</v>
      </c>
      <c r="B8169" s="8" t="s">
        <v>8125</v>
      </c>
    </row>
    <row r="8170" spans="1:2" x14ac:dyDescent="0.3">
      <c r="A8170" s="5" t="str">
        <f>HYPERLINK("http://www.eatonpowersource.com/products/configure/pumps/details/02-137143-cr","02-137143-CR")</f>
        <v>02-137143-CR</v>
      </c>
      <c r="B8170" s="6" t="s">
        <v>8126</v>
      </c>
    </row>
    <row r="8171" spans="1:2" x14ac:dyDescent="0.3">
      <c r="A8171" s="7" t="str">
        <f>HYPERLINK("http://www.eatonpowersource.com/products/configure/pumps/details/02-137143-dr","02-137143-DR")</f>
        <v>02-137143-DR</v>
      </c>
      <c r="B8171" s="8" t="s">
        <v>8127</v>
      </c>
    </row>
    <row r="8172" spans="1:2" x14ac:dyDescent="0.3">
      <c r="A8172" s="5" t="str">
        <f>HYPERLINK("http://www.eatonpowersource.com/products/configure/pumps/details/02-137144-ar","02-137144-AR")</f>
        <v>02-137144-AR</v>
      </c>
      <c r="B8172" s="6" t="s">
        <v>8128</v>
      </c>
    </row>
    <row r="8173" spans="1:2" x14ac:dyDescent="0.3">
      <c r="A8173" s="7" t="str">
        <f>HYPERLINK("http://www.eatonpowersource.com/products/configure/pumps/details/02-137144-br","02-137144-BR")</f>
        <v>02-137144-BR</v>
      </c>
      <c r="B8173" s="8" t="s">
        <v>8129</v>
      </c>
    </row>
    <row r="8174" spans="1:2" x14ac:dyDescent="0.3">
      <c r="A8174" s="5" t="str">
        <f>HYPERLINK("http://www.eatonpowersource.com/products/configure/pumps/details/02-137144-cl","02-137144-CL")</f>
        <v>02-137144-CL</v>
      </c>
      <c r="B8174" s="6" t="s">
        <v>8130</v>
      </c>
    </row>
    <row r="8175" spans="1:2" x14ac:dyDescent="0.3">
      <c r="A8175" s="7" t="str">
        <f>HYPERLINK("http://www.eatonpowersource.com/products/configure/pumps/details/02-137144-cr","02-137144-CR")</f>
        <v>02-137144-CR</v>
      </c>
      <c r="B8175" s="8" t="s">
        <v>8131</v>
      </c>
    </row>
    <row r="8176" spans="1:2" x14ac:dyDescent="0.3">
      <c r="A8176" s="5" t="str">
        <f>HYPERLINK("http://www.eatonpowersource.com/products/configure/pumps/details/02-137144-dl","02-137144-DL")</f>
        <v>02-137144-DL</v>
      </c>
      <c r="B8176" s="6" t="s">
        <v>8132</v>
      </c>
    </row>
    <row r="8177" spans="1:2" x14ac:dyDescent="0.3">
      <c r="A8177" s="7" t="str">
        <f>HYPERLINK("http://www.eatonpowersource.com/products/configure/pumps/details/02-137144-dr","02-137144-DR")</f>
        <v>02-137144-DR</v>
      </c>
      <c r="B8177" s="8" t="s">
        <v>8133</v>
      </c>
    </row>
    <row r="8178" spans="1:2" x14ac:dyDescent="0.3">
      <c r="A8178" s="5" t="str">
        <f>HYPERLINK("http://www.eatonpowersource.com/products/configure/pumps/details/02-137145-ar","02-137145-AR")</f>
        <v>02-137145-AR</v>
      </c>
      <c r="B8178" s="6" t="s">
        <v>8134</v>
      </c>
    </row>
    <row r="8179" spans="1:2" x14ac:dyDescent="0.3">
      <c r="A8179" s="7" t="str">
        <f>HYPERLINK("http://www.eatonpowersource.com/products/configure/pumps/details/02-137145-cr","02-137145-CR")</f>
        <v>02-137145-CR</v>
      </c>
      <c r="B8179" s="8" t="s">
        <v>8135</v>
      </c>
    </row>
    <row r="8180" spans="1:2" x14ac:dyDescent="0.3">
      <c r="A8180" s="5" t="str">
        <f>HYPERLINK("http://www.eatonpowersource.com/products/configure/pumps/details/02-137145-dr","02-137145-DR")</f>
        <v>02-137145-DR</v>
      </c>
      <c r="B8180" s="6" t="s">
        <v>8136</v>
      </c>
    </row>
    <row r="8181" spans="1:2" x14ac:dyDescent="0.3">
      <c r="A8181" s="7" t="str">
        <f>HYPERLINK("http://www.eatonpowersource.com/products/configure/pumps/details/02-137146-ar","02-137146-AR")</f>
        <v>02-137146-AR</v>
      </c>
      <c r="B8181" s="8" t="s">
        <v>8137</v>
      </c>
    </row>
    <row r="8182" spans="1:2" x14ac:dyDescent="0.3">
      <c r="A8182" s="5" t="str">
        <f>HYPERLINK("http://www.eatonpowersource.com/products/configure/pumps/details/02-137146-cr","02-137146-CR")</f>
        <v>02-137146-CR</v>
      </c>
      <c r="B8182" s="6" t="s">
        <v>8138</v>
      </c>
    </row>
    <row r="8183" spans="1:2" x14ac:dyDescent="0.3">
      <c r="A8183" s="7" t="str">
        <f>HYPERLINK("http://www.eatonpowersource.com/products/configure/pumps/details/02-137146-dl","02-137146-DL")</f>
        <v>02-137146-DL</v>
      </c>
      <c r="B8183" s="8" t="s">
        <v>8139</v>
      </c>
    </row>
    <row r="8184" spans="1:2" x14ac:dyDescent="0.3">
      <c r="A8184" s="5" t="str">
        <f>HYPERLINK("http://www.eatonpowersource.com/products/configure/pumps/details/02-137146-dr","02-137146-DR")</f>
        <v>02-137146-DR</v>
      </c>
      <c r="B8184" s="6" t="s">
        <v>8140</v>
      </c>
    </row>
    <row r="8185" spans="1:2" x14ac:dyDescent="0.3">
      <c r="A8185" s="7" t="str">
        <f>HYPERLINK("http://www.eatonpowersource.com/products/configure/pumps/details/02-137147-ar","02-137147-AR")</f>
        <v>02-137147-AR</v>
      </c>
      <c r="B8185" s="8" t="s">
        <v>8141</v>
      </c>
    </row>
    <row r="8186" spans="1:2" x14ac:dyDescent="0.3">
      <c r="A8186" s="5" t="str">
        <f>HYPERLINK("http://www.eatonpowersource.com/products/configure/pumps/details/02-137147-br","02-137147-BR")</f>
        <v>02-137147-BR</v>
      </c>
      <c r="B8186" s="6" t="s">
        <v>8142</v>
      </c>
    </row>
    <row r="8187" spans="1:2" x14ac:dyDescent="0.3">
      <c r="A8187" s="7" t="str">
        <f>HYPERLINK("http://www.eatonpowersource.com/products/configure/pumps/details/02-137147-cr","02-137147-CR")</f>
        <v>02-137147-CR</v>
      </c>
      <c r="B8187" s="8" t="s">
        <v>8143</v>
      </c>
    </row>
    <row r="8188" spans="1:2" x14ac:dyDescent="0.3">
      <c r="A8188" s="5" t="str">
        <f>HYPERLINK("http://www.eatonpowersource.com/products/configure/pumps/details/02-137147-dr","02-137147-DR")</f>
        <v>02-137147-DR</v>
      </c>
      <c r="B8188" s="6" t="s">
        <v>8144</v>
      </c>
    </row>
    <row r="8189" spans="1:2" x14ac:dyDescent="0.3">
      <c r="A8189" s="7" t="str">
        <f>HYPERLINK("http://www.eatonpowersource.com/products/configure/pumps/details/02-137148-al","02-137148-AL")</f>
        <v>02-137148-AL</v>
      </c>
      <c r="B8189" s="8" t="s">
        <v>8145</v>
      </c>
    </row>
    <row r="8190" spans="1:2" x14ac:dyDescent="0.3">
      <c r="A8190" s="5" t="str">
        <f>HYPERLINK("http://www.eatonpowersource.com/products/configure/pumps/details/02-137148-ar","02-137148-AR")</f>
        <v>02-137148-AR</v>
      </c>
      <c r="B8190" s="6" t="s">
        <v>8146</v>
      </c>
    </row>
    <row r="8191" spans="1:2" x14ac:dyDescent="0.3">
      <c r="A8191" s="7" t="str">
        <f>HYPERLINK("http://www.eatonpowersource.com/products/configure/pumps/details/02-137148-bl","02-137148-BL")</f>
        <v>02-137148-BL</v>
      </c>
      <c r="B8191" s="8" t="s">
        <v>8147</v>
      </c>
    </row>
    <row r="8192" spans="1:2" x14ac:dyDescent="0.3">
      <c r="A8192" s="5" t="str">
        <f>HYPERLINK("http://www.eatonpowersource.com/products/configure/pumps/details/02-137148-br","02-137148-BR")</f>
        <v>02-137148-BR</v>
      </c>
      <c r="B8192" s="6" t="s">
        <v>8148</v>
      </c>
    </row>
    <row r="8193" spans="1:2" x14ac:dyDescent="0.3">
      <c r="A8193" s="7" t="str">
        <f>HYPERLINK("http://www.eatonpowersource.com/products/configure/pumps/details/02-137148-cr","02-137148-CR")</f>
        <v>02-137148-CR</v>
      </c>
      <c r="B8193" s="8" t="s">
        <v>8149</v>
      </c>
    </row>
    <row r="8194" spans="1:2" x14ac:dyDescent="0.3">
      <c r="A8194" s="5" t="str">
        <f>HYPERLINK("http://www.eatonpowersource.com/products/configure/pumps/details/02-137151-ar","02-137151-AR")</f>
        <v>02-137151-AR</v>
      </c>
      <c r="B8194" s="6" t="s">
        <v>8150</v>
      </c>
    </row>
    <row r="8195" spans="1:2" x14ac:dyDescent="0.3">
      <c r="A8195" s="7" t="str">
        <f>HYPERLINK("http://www.eatonpowersource.com/products/configure/pumps/details/02-137167-aar","02-137167-AAR")</f>
        <v>02-137167-AAR</v>
      </c>
      <c r="B8195" s="8" t="s">
        <v>8151</v>
      </c>
    </row>
    <row r="8196" spans="1:2" x14ac:dyDescent="0.3">
      <c r="A8196" s="5" t="str">
        <f>HYPERLINK("http://www.eatonpowersource.com/products/configure/pumps/details/02-137168-aar","02-137168-AAR")</f>
        <v>02-137168-AAR</v>
      </c>
      <c r="B8196" s="6" t="s">
        <v>8152</v>
      </c>
    </row>
    <row r="8197" spans="1:2" x14ac:dyDescent="0.3">
      <c r="A8197" s="7" t="str">
        <f>HYPERLINK("http://www.eatonpowersource.com/products/configure/pumps/details/02-137168-bbr","02-137168-BBR")</f>
        <v>02-137168-BBR</v>
      </c>
      <c r="B8197" s="8" t="s">
        <v>8153</v>
      </c>
    </row>
    <row r="8198" spans="1:2" x14ac:dyDescent="0.3">
      <c r="A8198" s="5" t="str">
        <f>HYPERLINK("http://www.eatonpowersource.com/products/configure/pumps/details/02-137168-ccr","02-137168-CCR")</f>
        <v>02-137168-CCR</v>
      </c>
      <c r="B8198" s="6" t="s">
        <v>8154</v>
      </c>
    </row>
    <row r="8199" spans="1:2" x14ac:dyDescent="0.3">
      <c r="A8199" s="7" t="str">
        <f>HYPERLINK("http://www.eatonpowersource.com/products/configure/pumps/details/02-137170-aar","02-137170-AAR")</f>
        <v>02-137170-AAR</v>
      </c>
      <c r="B8199" s="8" t="s">
        <v>8155</v>
      </c>
    </row>
    <row r="8200" spans="1:2" x14ac:dyDescent="0.3">
      <c r="A8200" s="5" t="str">
        <f>HYPERLINK("http://www.eatonpowersource.com/products/configure/pumps/details/02-137170-cbr","02-137170-CBR")</f>
        <v>02-137170-CBR</v>
      </c>
      <c r="B8200" s="6" t="s">
        <v>8156</v>
      </c>
    </row>
    <row r="8201" spans="1:2" x14ac:dyDescent="0.3">
      <c r="A8201" s="7" t="str">
        <f>HYPERLINK("http://www.eatonpowersource.com/products/configure/pumps/details/02-137172-aar","02-137172-AAR")</f>
        <v>02-137172-AAR</v>
      </c>
      <c r="B8201" s="8" t="s">
        <v>8157</v>
      </c>
    </row>
    <row r="8202" spans="1:2" x14ac:dyDescent="0.3">
      <c r="A8202" s="5" t="str">
        <f>HYPERLINK("http://www.eatonpowersource.com/products/configure/pumps/details/02-137172-adr","02-137172-ADR")</f>
        <v>02-137172-ADR</v>
      </c>
      <c r="B8202" s="6" t="s">
        <v>8158</v>
      </c>
    </row>
    <row r="8203" spans="1:2" x14ac:dyDescent="0.3">
      <c r="A8203" s="7" t="str">
        <f>HYPERLINK("http://www.eatonpowersource.com/products/configure/pumps/details/02-137173-adr","02-137173-ADR")</f>
        <v>02-137173-ADR</v>
      </c>
      <c r="B8203" s="8" t="s">
        <v>8159</v>
      </c>
    </row>
    <row r="8204" spans="1:2" x14ac:dyDescent="0.3">
      <c r="A8204" s="5" t="str">
        <f>HYPERLINK("http://www.eatonpowersource.com/products/configure/pumps/details/02-137175-ccr","02-137175-CCR")</f>
        <v>02-137175-CCR</v>
      </c>
      <c r="B8204" s="6" t="s">
        <v>8160</v>
      </c>
    </row>
    <row r="8205" spans="1:2" x14ac:dyDescent="0.3">
      <c r="A8205" s="7" t="str">
        <f>HYPERLINK("http://www.eatonpowersource.com/products/configure/pumps/details/02-137176-dcr","02-137176-DCR")</f>
        <v>02-137176-DCR</v>
      </c>
      <c r="B8205" s="8" t="s">
        <v>8161</v>
      </c>
    </row>
    <row r="8206" spans="1:2" x14ac:dyDescent="0.3">
      <c r="A8206" s="5" t="str">
        <f>HYPERLINK("http://www.eatonpowersource.com/products/configure/pumps/details/02-137177-aar","02-137177-AAR")</f>
        <v>02-137177-AAR</v>
      </c>
      <c r="B8206" s="6" t="s">
        <v>8162</v>
      </c>
    </row>
    <row r="8207" spans="1:2" x14ac:dyDescent="0.3">
      <c r="A8207" s="7" t="str">
        <f>HYPERLINK("http://www.eatonpowersource.com/products/configure/pumps/details/02-137177-abr","02-137177-ABR")</f>
        <v>02-137177-ABR</v>
      </c>
      <c r="B8207" s="8" t="s">
        <v>8163</v>
      </c>
    </row>
    <row r="8208" spans="1:2" x14ac:dyDescent="0.3">
      <c r="A8208" s="5" t="str">
        <f>HYPERLINK("http://www.eatonpowersource.com/products/configure/pumps/details/02-137177-adr","02-137177-ADR")</f>
        <v>02-137177-ADR</v>
      </c>
      <c r="B8208" s="6" t="s">
        <v>8164</v>
      </c>
    </row>
    <row r="8209" spans="1:2" x14ac:dyDescent="0.3">
      <c r="A8209" s="7" t="str">
        <f>HYPERLINK("http://www.eatonpowersource.com/products/configure/pumps/details/02-137177-ccr","02-137177-CCR")</f>
        <v>02-137177-CCR</v>
      </c>
      <c r="B8209" s="8" t="s">
        <v>8165</v>
      </c>
    </row>
    <row r="8210" spans="1:2" x14ac:dyDescent="0.3">
      <c r="A8210" s="5" t="str">
        <f>HYPERLINK("http://www.eatonpowersource.com/products/configure/pumps/details/02-137178-aar","02-137178-AAR")</f>
        <v>02-137178-AAR</v>
      </c>
      <c r="B8210" s="6" t="s">
        <v>8166</v>
      </c>
    </row>
    <row r="8211" spans="1:2" x14ac:dyDescent="0.3">
      <c r="A8211" s="7" t="str">
        <f>HYPERLINK("http://www.eatonpowersource.com/products/configure/pumps/details/02-137178-bar","02-137178-BAR")</f>
        <v>02-137178-BAR</v>
      </c>
      <c r="B8211" s="8" t="s">
        <v>8167</v>
      </c>
    </row>
    <row r="8212" spans="1:2" x14ac:dyDescent="0.3">
      <c r="A8212" s="5" t="str">
        <f>HYPERLINK("http://www.eatonpowersource.com/products/configure/pumps/details/02-137178-ccr","02-137178-CCR")</f>
        <v>02-137178-CCR</v>
      </c>
      <c r="B8212" s="6" t="s">
        <v>8168</v>
      </c>
    </row>
    <row r="8213" spans="1:2" x14ac:dyDescent="0.3">
      <c r="A8213" s="7" t="str">
        <f>HYPERLINK("http://www.eatonpowersource.com/products/configure/pumps/details/02-137179-aar","02-137179-AAR")</f>
        <v>02-137179-AAR</v>
      </c>
      <c r="B8213" s="8" t="s">
        <v>8169</v>
      </c>
    </row>
    <row r="8214" spans="1:2" x14ac:dyDescent="0.3">
      <c r="A8214" s="5" t="str">
        <f>HYPERLINK("http://www.eatonpowersource.com/products/configure/pumps/details/02-137182-aar","02-137182-AAR")</f>
        <v>02-137182-AAR</v>
      </c>
      <c r="B8214" s="6" t="s">
        <v>8170</v>
      </c>
    </row>
    <row r="8215" spans="1:2" x14ac:dyDescent="0.3">
      <c r="A8215" s="7" t="str">
        <f>HYPERLINK("http://www.eatonpowersource.com/products/configure/pumps/details/02-137183-aar","02-137183-AAR")</f>
        <v>02-137183-AAR</v>
      </c>
      <c r="B8215" s="8" t="s">
        <v>8171</v>
      </c>
    </row>
    <row r="8216" spans="1:2" x14ac:dyDescent="0.3">
      <c r="A8216" s="5" t="str">
        <f>HYPERLINK("http://www.eatonpowersource.com/products/configure/pumps/details/02-137183-ccr","02-137183-CCR")</f>
        <v>02-137183-CCR</v>
      </c>
      <c r="B8216" s="6" t="s">
        <v>8172</v>
      </c>
    </row>
    <row r="8217" spans="1:2" x14ac:dyDescent="0.3">
      <c r="A8217" s="7" t="str">
        <f>HYPERLINK("http://www.eatonpowersource.com/products/configure/pumps/details/02-137184-aar","02-137184-AAR")</f>
        <v>02-137184-AAR</v>
      </c>
      <c r="B8217" s="8" t="s">
        <v>8173</v>
      </c>
    </row>
    <row r="8218" spans="1:2" x14ac:dyDescent="0.3">
      <c r="A8218" s="5" t="str">
        <f>HYPERLINK("http://www.eatonpowersource.com/products/configure/pumps/details/02-137186-aar","02-137186-AAR")</f>
        <v>02-137186-AAR</v>
      </c>
      <c r="B8218" s="6" t="s">
        <v>8174</v>
      </c>
    </row>
    <row r="8219" spans="1:2" x14ac:dyDescent="0.3">
      <c r="A8219" s="7" t="str">
        <f>HYPERLINK("http://www.eatonpowersource.com/products/configure/pumps/details/02-137187-aar","02-137187-AAR")</f>
        <v>02-137187-AAR</v>
      </c>
      <c r="B8219" s="8" t="s">
        <v>8175</v>
      </c>
    </row>
    <row r="8220" spans="1:2" x14ac:dyDescent="0.3">
      <c r="A8220" s="5" t="str">
        <f>HYPERLINK("http://www.eatonpowersource.com/products/configure/pumps/details/02-137187-acr","02-137187-ACR")</f>
        <v>02-137187-ACR</v>
      </c>
      <c r="B8220" s="6" t="s">
        <v>8176</v>
      </c>
    </row>
    <row r="8221" spans="1:2" x14ac:dyDescent="0.3">
      <c r="A8221" s="7" t="str">
        <f>HYPERLINK("http://www.eatonpowersource.com/products/configure/pumps/details/02-137187-bar","02-137187-BAR")</f>
        <v>02-137187-BAR</v>
      </c>
      <c r="B8221" s="8" t="s">
        <v>8177</v>
      </c>
    </row>
    <row r="8222" spans="1:2" x14ac:dyDescent="0.3">
      <c r="A8222" s="5" t="str">
        <f>HYPERLINK("http://www.eatonpowersource.com/products/configure/pumps/details/02-137187-ccr","02-137187-CCR")</f>
        <v>02-137187-CCR</v>
      </c>
      <c r="B8222" s="6" t="s">
        <v>8178</v>
      </c>
    </row>
    <row r="8223" spans="1:2" x14ac:dyDescent="0.3">
      <c r="A8223" s="7" t="str">
        <f>HYPERLINK("http://www.eatonpowersource.com/products/configure/pumps/details/02-137191-aar","02-137191-AAR")</f>
        <v>02-137191-AAR</v>
      </c>
      <c r="B8223" s="8" t="s">
        <v>8179</v>
      </c>
    </row>
    <row r="8224" spans="1:2" x14ac:dyDescent="0.3">
      <c r="A8224" s="5" t="str">
        <f>HYPERLINK("http://www.eatonpowersource.com/products/configure/pumps/details/02-137191-acr","02-137191-ACR")</f>
        <v>02-137191-ACR</v>
      </c>
      <c r="B8224" s="6" t="s">
        <v>8180</v>
      </c>
    </row>
    <row r="8225" spans="1:2" x14ac:dyDescent="0.3">
      <c r="A8225" s="7" t="str">
        <f>HYPERLINK("http://www.eatonpowersource.com/products/configure/pumps/details/02-137191-cbr","02-137191-CBR")</f>
        <v>02-137191-CBR</v>
      </c>
      <c r="B8225" s="8" t="s">
        <v>8181</v>
      </c>
    </row>
    <row r="8226" spans="1:2" x14ac:dyDescent="0.3">
      <c r="A8226" s="5" t="str">
        <f>HYPERLINK("http://www.eatonpowersource.com/products/configure/pumps/details/02-137191-ccr","02-137191-CCR")</f>
        <v>02-137191-CCR</v>
      </c>
      <c r="B8226" s="6" t="s">
        <v>8182</v>
      </c>
    </row>
    <row r="8227" spans="1:2" x14ac:dyDescent="0.3">
      <c r="A8227" s="7" t="str">
        <f>HYPERLINK("http://www.eatonpowersource.com/products/configure/pumps/details/02-137193-aar","02-137193-AAR")</f>
        <v>02-137193-AAR</v>
      </c>
      <c r="B8227" s="8" t="s">
        <v>8183</v>
      </c>
    </row>
    <row r="8228" spans="1:2" x14ac:dyDescent="0.3">
      <c r="A8228" s="5" t="str">
        <f>HYPERLINK("http://www.eatonpowersource.com/products/configure/pumps/details/02-137193-bar","02-137193-BAR")</f>
        <v>02-137193-BAR</v>
      </c>
      <c r="B8228" s="6" t="s">
        <v>8184</v>
      </c>
    </row>
    <row r="8229" spans="1:2" x14ac:dyDescent="0.3">
      <c r="A8229" s="7" t="str">
        <f>HYPERLINK("http://www.eatonpowersource.com/products/configure/pumps/details/02-137193-ccr","02-137193-CCR")</f>
        <v>02-137193-CCR</v>
      </c>
      <c r="B8229" s="8" t="s">
        <v>8185</v>
      </c>
    </row>
    <row r="8230" spans="1:2" x14ac:dyDescent="0.3">
      <c r="A8230" s="5" t="str">
        <f>HYPERLINK("http://www.eatonpowersource.com/products/configure/pumps/details/02-137196-ccr","02-137196-CCR")</f>
        <v>02-137196-CCR</v>
      </c>
      <c r="B8230" s="6" t="s">
        <v>8186</v>
      </c>
    </row>
    <row r="8231" spans="1:2" x14ac:dyDescent="0.3">
      <c r="A8231" s="7" t="str">
        <f>HYPERLINK("http://www.eatonpowersource.com/products/configure/pumps/details/02-137198-aar","02-137198-AAR")</f>
        <v>02-137198-AAR</v>
      </c>
      <c r="B8231" s="8" t="s">
        <v>8187</v>
      </c>
    </row>
    <row r="8232" spans="1:2" x14ac:dyDescent="0.3">
      <c r="A8232" s="5" t="str">
        <f>HYPERLINK("http://www.eatonpowersource.com/products/configure/pumps/details/02-137198-ccr","02-137198-CCR")</f>
        <v>02-137198-CCR</v>
      </c>
      <c r="B8232" s="6" t="s">
        <v>8188</v>
      </c>
    </row>
    <row r="8233" spans="1:2" x14ac:dyDescent="0.3">
      <c r="A8233" s="7" t="str">
        <f>HYPERLINK("http://www.eatonpowersource.com/products/configure/pumps/details/02-137199-aar","02-137199-AAR")</f>
        <v>02-137199-AAR</v>
      </c>
      <c r="B8233" s="8" t="s">
        <v>8189</v>
      </c>
    </row>
    <row r="8234" spans="1:2" x14ac:dyDescent="0.3">
      <c r="A8234" s="5" t="str">
        <f>HYPERLINK("http://www.eatonpowersource.com/products/configure/pumps/details/02-137201-aar","02-137201-AAR")</f>
        <v>02-137201-AAR</v>
      </c>
      <c r="B8234" s="6" t="s">
        <v>8190</v>
      </c>
    </row>
    <row r="8235" spans="1:2" x14ac:dyDescent="0.3">
      <c r="A8235" s="7" t="str">
        <f>HYPERLINK("http://www.eatonpowersource.com/products/configure/pumps/details/02-137201-adr","02-137201-ADR")</f>
        <v>02-137201-ADR</v>
      </c>
      <c r="B8235" s="8" t="s">
        <v>8191</v>
      </c>
    </row>
    <row r="8236" spans="1:2" x14ac:dyDescent="0.3">
      <c r="A8236" s="5" t="str">
        <f>HYPERLINK("http://www.eatonpowersource.com/products/configure/pumps/details/02-137201-bar","02-137201-BAR")</f>
        <v>02-137201-BAR</v>
      </c>
      <c r="B8236" s="6" t="s">
        <v>8192</v>
      </c>
    </row>
    <row r="8237" spans="1:2" x14ac:dyDescent="0.3">
      <c r="A8237" s="7" t="str">
        <f>HYPERLINK("http://www.eatonpowersource.com/products/configure/pumps/details/02-137201-ccr","02-137201-CCR")</f>
        <v>02-137201-CCR</v>
      </c>
      <c r="B8237" s="8" t="s">
        <v>8193</v>
      </c>
    </row>
    <row r="8238" spans="1:2" x14ac:dyDescent="0.3">
      <c r="A8238" s="5" t="str">
        <f>HYPERLINK("http://www.eatonpowersource.com/products/configure/pumps/details/02-137203-aar","02-137203-AAR")</f>
        <v>02-137203-AAR</v>
      </c>
      <c r="B8238" s="6" t="s">
        <v>8194</v>
      </c>
    </row>
    <row r="8239" spans="1:2" x14ac:dyDescent="0.3">
      <c r="A8239" s="7" t="str">
        <f>HYPERLINK("http://www.eatonpowersource.com/products/configure/pumps/details/02-137203-ccr","02-137203-CCR")</f>
        <v>02-137203-CCR</v>
      </c>
      <c r="B8239" s="8" t="s">
        <v>8195</v>
      </c>
    </row>
    <row r="8240" spans="1:2" x14ac:dyDescent="0.3">
      <c r="A8240" s="5" t="str">
        <f>HYPERLINK("http://www.eatonpowersource.com/products/configure/pumps/details/02-137206-aal","02-137206-AAL")</f>
        <v>02-137206-AAL</v>
      </c>
      <c r="B8240" s="6" t="s">
        <v>8196</v>
      </c>
    </row>
    <row r="8241" spans="1:2" x14ac:dyDescent="0.3">
      <c r="A8241" s="7" t="str">
        <f>HYPERLINK("http://www.eatonpowersource.com/products/configure/pumps/details/02-137206-aar","02-137206-AAR")</f>
        <v>02-137206-AAR</v>
      </c>
      <c r="B8241" s="8" t="s">
        <v>8197</v>
      </c>
    </row>
    <row r="8242" spans="1:2" x14ac:dyDescent="0.3">
      <c r="A8242" s="5" t="str">
        <f>HYPERLINK("http://www.eatonpowersource.com/products/configure/pumps/details/02-137206-bbr","02-137206-BBR")</f>
        <v>02-137206-BBR</v>
      </c>
      <c r="B8242" s="6" t="s">
        <v>8198</v>
      </c>
    </row>
    <row r="8243" spans="1:2" x14ac:dyDescent="0.3">
      <c r="A8243" s="7" t="str">
        <f>HYPERLINK("http://www.eatonpowersource.com/products/configure/pumps/details/02-137206-cbr","02-137206-CBR")</f>
        <v>02-137206-CBR</v>
      </c>
      <c r="B8243" s="8" t="s">
        <v>8199</v>
      </c>
    </row>
    <row r="8244" spans="1:2" x14ac:dyDescent="0.3">
      <c r="A8244" s="5" t="str">
        <f>HYPERLINK("http://www.eatonpowersource.com/products/configure/pumps/details/02-137206-ccr","02-137206-CCR")</f>
        <v>02-137206-CCR</v>
      </c>
      <c r="B8244" s="6" t="s">
        <v>8200</v>
      </c>
    </row>
    <row r="8245" spans="1:2" x14ac:dyDescent="0.3">
      <c r="A8245" s="7" t="str">
        <f>HYPERLINK("http://www.eatonpowersource.com/products/configure/pumps/details/02-137210-aar","02-137210-AAR")</f>
        <v>02-137210-AAR</v>
      </c>
      <c r="B8245" s="8" t="s">
        <v>8201</v>
      </c>
    </row>
    <row r="8246" spans="1:2" x14ac:dyDescent="0.3">
      <c r="A8246" s="5" t="str">
        <f>HYPERLINK("http://www.eatonpowersource.com/products/configure/pumps/details/02-137210-cbr","02-137210-CBR")</f>
        <v>02-137210-CBR</v>
      </c>
      <c r="B8246" s="6" t="s">
        <v>8202</v>
      </c>
    </row>
    <row r="8247" spans="1:2" x14ac:dyDescent="0.3">
      <c r="A8247" s="7" t="str">
        <f>HYPERLINK("http://www.eatonpowersource.com/products/configure/pumps/details/02-137210-ccr","02-137210-CCR")</f>
        <v>02-137210-CCR</v>
      </c>
      <c r="B8247" s="8" t="s">
        <v>8203</v>
      </c>
    </row>
    <row r="8248" spans="1:2" x14ac:dyDescent="0.3">
      <c r="A8248" s="5" t="str">
        <f>HYPERLINK("http://www.eatonpowersource.com/products/configure/pumps/details/02-137233-aar","02-137233-AAR")</f>
        <v>02-137233-AAR</v>
      </c>
      <c r="B8248" s="6" t="s">
        <v>8204</v>
      </c>
    </row>
    <row r="8249" spans="1:2" x14ac:dyDescent="0.3">
      <c r="A8249" s="7" t="str">
        <f>HYPERLINK("http://www.eatonpowersource.com/products/configure/pumps/details/02-137233-bbr","02-137233-BBR")</f>
        <v>02-137233-BBR</v>
      </c>
      <c r="B8249" s="8" t="s">
        <v>8205</v>
      </c>
    </row>
    <row r="8250" spans="1:2" x14ac:dyDescent="0.3">
      <c r="A8250" s="5" t="str">
        <f>HYPERLINK("http://www.eatonpowersource.com/products/configure/pumps/details/02-137233-ccr","02-137233-CCR")</f>
        <v>02-137233-CCR</v>
      </c>
      <c r="B8250" s="6" t="s">
        <v>8206</v>
      </c>
    </row>
    <row r="8251" spans="1:2" x14ac:dyDescent="0.3">
      <c r="A8251" s="7" t="str">
        <f>HYPERLINK("http://www.eatonpowersource.com/products/configure/pumps/details/02-137237-aar","02-137237-AAR")</f>
        <v>02-137237-AAR</v>
      </c>
      <c r="B8251" s="8" t="s">
        <v>8207</v>
      </c>
    </row>
    <row r="8252" spans="1:2" x14ac:dyDescent="0.3">
      <c r="A8252" s="5" t="str">
        <f>HYPERLINK("http://www.eatonpowersource.com/products/configure/pumps/details/02-137238-ccr","02-137238-CCR")</f>
        <v>02-137238-CCR</v>
      </c>
      <c r="B8252" s="6" t="s">
        <v>8208</v>
      </c>
    </row>
    <row r="8253" spans="1:2" x14ac:dyDescent="0.3">
      <c r="A8253" s="7" t="str">
        <f>HYPERLINK("http://www.eatonpowersource.com/products/configure/pumps/details/02-137239-aar","02-137239-AAR")</f>
        <v>02-137239-AAR</v>
      </c>
      <c r="B8253" s="8" t="s">
        <v>8209</v>
      </c>
    </row>
    <row r="8254" spans="1:2" x14ac:dyDescent="0.3">
      <c r="A8254" s="5" t="str">
        <f>HYPERLINK("http://www.eatonpowersource.com/products/configure/pumps/details/02-137239-ccr","02-137239-CCR")</f>
        <v>02-137239-CCR</v>
      </c>
      <c r="B8254" s="6" t="s">
        <v>8210</v>
      </c>
    </row>
    <row r="8255" spans="1:2" x14ac:dyDescent="0.3">
      <c r="A8255" s="7" t="str">
        <f>HYPERLINK("http://www.eatonpowersource.com/products/configure/pumps/details/02-137240-aar","02-137240-AAR")</f>
        <v>02-137240-AAR</v>
      </c>
      <c r="B8255" s="8" t="s">
        <v>8211</v>
      </c>
    </row>
    <row r="8256" spans="1:2" x14ac:dyDescent="0.3">
      <c r="A8256" s="5" t="str">
        <f>HYPERLINK("http://www.eatonpowersource.com/products/configure/pumps/details/02-137240-acr","02-137240-ACR")</f>
        <v>02-137240-ACR</v>
      </c>
      <c r="B8256" s="6" t="s">
        <v>8212</v>
      </c>
    </row>
    <row r="8257" spans="1:2" x14ac:dyDescent="0.3">
      <c r="A8257" s="7" t="str">
        <f>HYPERLINK("http://www.eatonpowersource.com/products/configure/pumps/details/02-137240-ccr","02-137240-CCR")</f>
        <v>02-137240-CCR</v>
      </c>
      <c r="B8257" s="8" t="s">
        <v>8213</v>
      </c>
    </row>
    <row r="8258" spans="1:2" x14ac:dyDescent="0.3">
      <c r="A8258" s="5" t="str">
        <f>HYPERLINK("http://www.eatonpowersource.com/products/configure/pumps/details/02-137243-ccr","02-137243-CCR")</f>
        <v>02-137243-CCR</v>
      </c>
      <c r="B8258" s="6" t="s">
        <v>8214</v>
      </c>
    </row>
    <row r="8259" spans="1:2" x14ac:dyDescent="0.3">
      <c r="A8259" s="7" t="str">
        <f>HYPERLINK("http://www.eatonpowersource.com/products/configure/pumps/details/02-137244-bbr","02-137244-BBR")</f>
        <v>02-137244-BBR</v>
      </c>
      <c r="B8259" s="8" t="s">
        <v>8215</v>
      </c>
    </row>
    <row r="8260" spans="1:2" x14ac:dyDescent="0.3">
      <c r="A8260" s="5" t="str">
        <f>HYPERLINK("http://www.eatonpowersource.com/products/configure/pumps/details/02-137246-bar","02-137246-BAR")</f>
        <v>02-137246-BAR</v>
      </c>
      <c r="B8260" s="6" t="s">
        <v>8216</v>
      </c>
    </row>
    <row r="8261" spans="1:2" x14ac:dyDescent="0.3">
      <c r="A8261" s="7" t="str">
        <f>HYPERLINK("http://www.eatonpowersource.com/products/configure/pumps/details/02-137248-ccr","02-137248-CCR")</f>
        <v>02-137248-CCR</v>
      </c>
      <c r="B8261" s="8" t="s">
        <v>8217</v>
      </c>
    </row>
    <row r="8262" spans="1:2" x14ac:dyDescent="0.3">
      <c r="A8262" s="5" t="str">
        <f>HYPERLINK("http://www.eatonpowersource.com/products/configure/pumps/details/02-137249-bcr","02-137249-BCR")</f>
        <v>02-137249-BCR</v>
      </c>
      <c r="B8262" s="6" t="s">
        <v>8218</v>
      </c>
    </row>
    <row r="8263" spans="1:2" x14ac:dyDescent="0.3">
      <c r="A8263" s="7" t="str">
        <f>HYPERLINK("http://www.eatonpowersource.com/products/configure/pumps/details/02-137250-aar","02-137250-AAR")</f>
        <v>02-137250-AAR</v>
      </c>
      <c r="B8263" s="8" t="s">
        <v>8219</v>
      </c>
    </row>
    <row r="8264" spans="1:2" x14ac:dyDescent="0.3">
      <c r="A8264" s="5" t="str">
        <f>HYPERLINK("http://www.eatonpowersource.com/products/configure/pumps/details/02-137251-cbr","02-137251-CBR")</f>
        <v>02-137251-CBR</v>
      </c>
      <c r="B8264" s="6" t="s">
        <v>8220</v>
      </c>
    </row>
    <row r="8265" spans="1:2" x14ac:dyDescent="0.3">
      <c r="A8265" s="7" t="str">
        <f>HYPERLINK("http://www.eatonpowersource.com/products/configure/pumps/details/02-137251-ccr","02-137251-CCR")</f>
        <v>02-137251-CCR</v>
      </c>
      <c r="B8265" s="8" t="s">
        <v>8221</v>
      </c>
    </row>
    <row r="8266" spans="1:2" x14ac:dyDescent="0.3">
      <c r="A8266" s="5" t="str">
        <f>HYPERLINK("http://www.eatonpowersource.com/products/configure/pumps/details/02-137252-aar","02-137252-AAR")</f>
        <v>02-137252-AAR</v>
      </c>
      <c r="B8266" s="6" t="s">
        <v>8222</v>
      </c>
    </row>
    <row r="8267" spans="1:2" x14ac:dyDescent="0.3">
      <c r="A8267" s="7" t="str">
        <f>HYPERLINK("http://www.eatonpowersource.com/products/configure/pumps/details/02-137254-bbr","02-137254-BBR")</f>
        <v>02-137254-BBR</v>
      </c>
      <c r="B8267" s="8" t="s">
        <v>8223</v>
      </c>
    </row>
    <row r="8268" spans="1:2" x14ac:dyDescent="0.3">
      <c r="A8268" s="5" t="str">
        <f>HYPERLINK("http://www.eatonpowersource.com/products/configure/pumps/details/02-137255-aar","02-137255-AAR")</f>
        <v>02-137255-AAR</v>
      </c>
      <c r="B8268" s="6" t="s">
        <v>8224</v>
      </c>
    </row>
    <row r="8269" spans="1:2" x14ac:dyDescent="0.3">
      <c r="A8269" s="7" t="str">
        <f>HYPERLINK("http://www.eatonpowersource.com/products/configure/pumps/details/02-137255-adr","02-137255-ADR")</f>
        <v>02-137255-ADR</v>
      </c>
      <c r="B8269" s="8" t="s">
        <v>8225</v>
      </c>
    </row>
    <row r="8270" spans="1:2" x14ac:dyDescent="0.3">
      <c r="A8270" s="5" t="str">
        <f>HYPERLINK("http://www.eatonpowersource.com/products/configure/pumps/details/02-137257-ccr","02-137257-CCR")</f>
        <v>02-137257-CCR</v>
      </c>
      <c r="B8270" s="6" t="s">
        <v>8226</v>
      </c>
    </row>
    <row r="8271" spans="1:2" x14ac:dyDescent="0.3">
      <c r="A8271" s="7" t="str">
        <f>HYPERLINK("http://www.eatonpowersource.com/products/configure/pumps/details/02-137259-aar","02-137259-AAR")</f>
        <v>02-137259-AAR</v>
      </c>
      <c r="B8271" s="8" t="s">
        <v>8227</v>
      </c>
    </row>
    <row r="8272" spans="1:2" x14ac:dyDescent="0.3">
      <c r="A8272" s="5" t="str">
        <f>HYPERLINK("http://www.eatonpowersource.com/products/configure/pumps/details/02-137261-ccr","02-137261-CCR")</f>
        <v>02-137261-CCR</v>
      </c>
      <c r="B8272" s="6" t="s">
        <v>8228</v>
      </c>
    </row>
    <row r="8273" spans="1:2" x14ac:dyDescent="0.3">
      <c r="A8273" s="7" t="str">
        <f>HYPERLINK("http://www.eatonpowersource.com/products/configure/pumps/details/02-137264-ccr","02-137264-CCR")</f>
        <v>02-137264-CCR</v>
      </c>
      <c r="B8273" s="8" t="s">
        <v>8229</v>
      </c>
    </row>
    <row r="8274" spans="1:2" x14ac:dyDescent="0.3">
      <c r="A8274" s="5" t="str">
        <f>HYPERLINK("http://www.eatonpowersource.com/products/configure/pumps/details/02-137265-aar","02-137265-AAR")</f>
        <v>02-137265-AAR</v>
      </c>
      <c r="B8274" s="6" t="s">
        <v>8230</v>
      </c>
    </row>
    <row r="8275" spans="1:2" x14ac:dyDescent="0.3">
      <c r="A8275" s="7" t="str">
        <f>HYPERLINK("http://www.eatonpowersource.com/products/configure/pumps/details/02-137265-ccr","02-137265-CCR")</f>
        <v>02-137265-CCR</v>
      </c>
      <c r="B8275" s="8" t="s">
        <v>8231</v>
      </c>
    </row>
    <row r="8276" spans="1:2" x14ac:dyDescent="0.3">
      <c r="A8276" s="5" t="str">
        <f>HYPERLINK("http://www.eatonpowersource.com/products/configure/pumps/details/02-137267-ccr","02-137267-CCR")</f>
        <v>02-137267-CCR</v>
      </c>
      <c r="B8276" s="6" t="s">
        <v>8232</v>
      </c>
    </row>
    <row r="8277" spans="1:2" x14ac:dyDescent="0.3">
      <c r="A8277" s="7" t="str">
        <f>HYPERLINK("http://www.eatonpowersource.com/products/configure/pumps/details/02-137268-aar","02-137268-AAR")</f>
        <v>02-137268-AAR</v>
      </c>
      <c r="B8277" s="8" t="s">
        <v>8233</v>
      </c>
    </row>
    <row r="8278" spans="1:2" x14ac:dyDescent="0.3">
      <c r="A8278" s="5" t="str">
        <f>HYPERLINK("http://www.eatonpowersource.com/products/configure/pumps/details/02-137269-aar","02-137269-AAR")</f>
        <v>02-137269-AAR</v>
      </c>
      <c r="B8278" s="6" t="s">
        <v>8234</v>
      </c>
    </row>
    <row r="8279" spans="1:2" x14ac:dyDescent="0.3">
      <c r="A8279" s="7" t="str">
        <f>HYPERLINK("http://www.eatonpowersource.com/products/configure/pumps/details/02-137269-adr","02-137269-ADR")</f>
        <v>02-137269-ADR</v>
      </c>
      <c r="B8279" s="8" t="s">
        <v>8235</v>
      </c>
    </row>
    <row r="8280" spans="1:2" x14ac:dyDescent="0.3">
      <c r="A8280" s="5" t="str">
        <f>HYPERLINK("http://www.eatonpowersource.com/products/configure/pumps/details/02-137269-ccr","02-137269-CCR")</f>
        <v>02-137269-CCR</v>
      </c>
      <c r="B8280" s="6" t="s">
        <v>8236</v>
      </c>
    </row>
    <row r="8281" spans="1:2" x14ac:dyDescent="0.3">
      <c r="A8281" s="7" t="str">
        <f>HYPERLINK("http://www.eatonpowersource.com/products/configure/pumps/details/02-137270-ccr","02-137270-CCR")</f>
        <v>02-137270-CCR</v>
      </c>
      <c r="B8281" s="8" t="s">
        <v>8237</v>
      </c>
    </row>
    <row r="8282" spans="1:2" x14ac:dyDescent="0.3">
      <c r="A8282" s="5" t="str">
        <f>HYPERLINK("http://www.eatonpowersource.com/products/configure/pumps/details/02-137271-aar","02-137271-AAR")</f>
        <v>02-137271-AAR</v>
      </c>
      <c r="B8282" s="6" t="s">
        <v>8238</v>
      </c>
    </row>
    <row r="8283" spans="1:2" x14ac:dyDescent="0.3">
      <c r="A8283" s="7" t="str">
        <f>HYPERLINK("http://www.eatonpowersource.com/products/configure/pumps/details/02-137272-ccr","02-137272-CCR")</f>
        <v>02-137272-CCR</v>
      </c>
      <c r="B8283" s="8" t="s">
        <v>8239</v>
      </c>
    </row>
    <row r="8284" spans="1:2" x14ac:dyDescent="0.3">
      <c r="A8284" s="5" t="str">
        <f>HYPERLINK("http://www.eatonpowersource.com/products/configure/pumps/details/02-137274-aar","02-137274-AAR")</f>
        <v>02-137274-AAR</v>
      </c>
      <c r="B8284" s="6" t="s">
        <v>8240</v>
      </c>
    </row>
    <row r="8285" spans="1:2" x14ac:dyDescent="0.3">
      <c r="A8285" s="7" t="str">
        <f>HYPERLINK("http://www.eatonpowersource.com/products/configure/pumps/details/02-137275-aar","02-137275-AAR")</f>
        <v>02-137275-AAR</v>
      </c>
      <c r="B8285" s="8" t="s">
        <v>8241</v>
      </c>
    </row>
    <row r="8286" spans="1:2" x14ac:dyDescent="0.3">
      <c r="A8286" s="5" t="str">
        <f>HYPERLINK("http://www.eatonpowersource.com/products/configure/pumps/details/02-137278-ccr","02-137278-CCR")</f>
        <v>02-137278-CCR</v>
      </c>
      <c r="B8286" s="6" t="s">
        <v>8242</v>
      </c>
    </row>
    <row r="8287" spans="1:2" x14ac:dyDescent="0.3">
      <c r="A8287" s="7" t="str">
        <f>HYPERLINK("http://www.eatonpowersource.com/products/configure/pumps/details/02-137279-aar","02-137279-AAR")</f>
        <v>02-137279-AAR</v>
      </c>
      <c r="B8287" s="8" t="s">
        <v>8243</v>
      </c>
    </row>
    <row r="8288" spans="1:2" x14ac:dyDescent="0.3">
      <c r="A8288" s="5" t="str">
        <f>HYPERLINK("http://www.eatonpowersource.com/products/configure/pumps/details/02-137282-aar","02-137282-AAR")</f>
        <v>02-137282-AAR</v>
      </c>
      <c r="B8288" s="6" t="s">
        <v>8244</v>
      </c>
    </row>
    <row r="8289" spans="1:2" x14ac:dyDescent="0.3">
      <c r="A8289" s="7" t="str">
        <f>HYPERLINK("http://www.eatonpowersource.com/products/configure/pumps/details/02-137282-ccr","02-137282-CCR")</f>
        <v>02-137282-CCR</v>
      </c>
      <c r="B8289" s="8" t="s">
        <v>8245</v>
      </c>
    </row>
    <row r="8290" spans="1:2" x14ac:dyDescent="0.3">
      <c r="A8290" s="5" t="str">
        <f>HYPERLINK("http://www.eatonpowersource.com/products/configure/pumps/details/02-137285-cbr","02-137285-CBR")</f>
        <v>02-137285-CBR</v>
      </c>
      <c r="B8290" s="6" t="s">
        <v>8246</v>
      </c>
    </row>
    <row r="8291" spans="1:2" x14ac:dyDescent="0.3">
      <c r="A8291" s="7" t="str">
        <f>HYPERLINK("http://www.eatonpowersource.com/products/configure/pumps/details/02-137286-ccr","02-137286-CCR")</f>
        <v>02-137286-CCR</v>
      </c>
      <c r="B8291" s="8" t="s">
        <v>8247</v>
      </c>
    </row>
    <row r="8292" spans="1:2" x14ac:dyDescent="0.3">
      <c r="A8292" s="5" t="str">
        <f>HYPERLINK("http://www.eatonpowersource.com/products/configure/pumps/details/02-137288-ccr","02-137288-CCR")</f>
        <v>02-137288-CCR</v>
      </c>
      <c r="B8292" s="6" t="s">
        <v>8248</v>
      </c>
    </row>
    <row r="8293" spans="1:2" x14ac:dyDescent="0.3">
      <c r="A8293" s="7" t="str">
        <f>HYPERLINK("http://www.eatonpowersource.com/products/configure/pumps/details/02-137289-aar","02-137289-AAR")</f>
        <v>02-137289-AAR</v>
      </c>
      <c r="B8293" s="8" t="s">
        <v>8249</v>
      </c>
    </row>
    <row r="8294" spans="1:2" x14ac:dyDescent="0.3">
      <c r="A8294" s="5" t="str">
        <f>HYPERLINK("http://www.eatonpowersource.com/products/configure/pumps/details/02-137297-aar","02-137297-AAR")</f>
        <v>02-137297-AAR</v>
      </c>
      <c r="B8294" s="6" t="s">
        <v>8250</v>
      </c>
    </row>
    <row r="8295" spans="1:2" x14ac:dyDescent="0.3">
      <c r="A8295" s="7" t="str">
        <f>HYPERLINK("http://www.eatonpowersource.com/products/configure/pumps/details/02-137297-bar","02-137297-BAR")</f>
        <v>02-137297-BAR</v>
      </c>
      <c r="B8295" s="8" t="s">
        <v>8251</v>
      </c>
    </row>
    <row r="8296" spans="1:2" x14ac:dyDescent="0.3">
      <c r="A8296" s="5" t="str">
        <f>HYPERLINK("http://www.eatonpowersource.com/products/configure/pumps/details/02-137299-aar","02-137299-AAR")</f>
        <v>02-137299-AAR</v>
      </c>
      <c r="B8296" s="6" t="s">
        <v>8252</v>
      </c>
    </row>
    <row r="8297" spans="1:2" x14ac:dyDescent="0.3">
      <c r="A8297" s="7" t="str">
        <f>HYPERLINK("http://www.eatonpowersource.com/products/configure/pumps/details/02-137299-dar","02-137299-DAR")</f>
        <v>02-137299-DAR</v>
      </c>
      <c r="B8297" s="8" t="s">
        <v>8253</v>
      </c>
    </row>
    <row r="8298" spans="1:2" x14ac:dyDescent="0.3">
      <c r="A8298" s="5" t="str">
        <f>HYPERLINK("http://www.eatonpowersource.com/products/configure/pumps/details/02-137300-ccr","02-137300-CCR")</f>
        <v>02-137300-CCR</v>
      </c>
      <c r="B8298" s="6" t="s">
        <v>8254</v>
      </c>
    </row>
    <row r="8299" spans="1:2" x14ac:dyDescent="0.3">
      <c r="A8299" s="7" t="str">
        <f>HYPERLINK("http://www.eatonpowersource.com/products/configure/pumps/details/02-137301-ccr","02-137301-CCR")</f>
        <v>02-137301-CCR</v>
      </c>
      <c r="B8299" s="8" t="s">
        <v>8255</v>
      </c>
    </row>
    <row r="8300" spans="1:2" x14ac:dyDescent="0.3">
      <c r="A8300" s="5" t="str">
        <f>HYPERLINK("http://www.eatonpowersource.com/products/configure/pumps/details/02-137302-aar","02-137302-AAR")</f>
        <v>02-137302-AAR</v>
      </c>
      <c r="B8300" s="6" t="s">
        <v>8256</v>
      </c>
    </row>
    <row r="8301" spans="1:2" x14ac:dyDescent="0.3">
      <c r="A8301" s="7" t="str">
        <f>HYPERLINK("http://www.eatonpowersource.com/products/configure/pumps/details/02-137302-bar","02-137302-BAR")</f>
        <v>02-137302-BAR</v>
      </c>
      <c r="B8301" s="8" t="s">
        <v>8257</v>
      </c>
    </row>
    <row r="8302" spans="1:2" x14ac:dyDescent="0.3">
      <c r="A8302" s="5" t="str">
        <f>HYPERLINK("http://www.eatonpowersource.com/products/configure/pumps/details/02-137302-ccr","02-137302-CCR")</f>
        <v>02-137302-CCR</v>
      </c>
      <c r="B8302" s="6" t="s">
        <v>8258</v>
      </c>
    </row>
    <row r="8303" spans="1:2" x14ac:dyDescent="0.3">
      <c r="A8303" s="7" t="str">
        <f>HYPERLINK("http://www.eatonpowersource.com/products/configure/pumps/details/02-137303-aar","02-137303-AAR")</f>
        <v>02-137303-AAR</v>
      </c>
      <c r="B8303" s="8" t="s">
        <v>8259</v>
      </c>
    </row>
    <row r="8304" spans="1:2" x14ac:dyDescent="0.3">
      <c r="A8304" s="5" t="str">
        <f>HYPERLINK("http://www.eatonpowersource.com/products/configure/pumps/details/02-137304-aar","02-137304-AAR")</f>
        <v>02-137304-AAR</v>
      </c>
      <c r="B8304" s="6" t="s">
        <v>8260</v>
      </c>
    </row>
    <row r="8305" spans="1:2" x14ac:dyDescent="0.3">
      <c r="A8305" s="7" t="str">
        <f>HYPERLINK("http://www.eatonpowersource.com/products/configure/pumps/details/02-137305-acr","02-137305-ACR")</f>
        <v>02-137305-ACR</v>
      </c>
      <c r="B8305" s="8" t="s">
        <v>8261</v>
      </c>
    </row>
    <row r="8306" spans="1:2" x14ac:dyDescent="0.3">
      <c r="A8306" s="5" t="str">
        <f>HYPERLINK("http://www.eatonpowersource.com/products/configure/pumps/details/02-137307-aar","02-137307-AAR")</f>
        <v>02-137307-AAR</v>
      </c>
      <c r="B8306" s="6" t="s">
        <v>8262</v>
      </c>
    </row>
    <row r="8307" spans="1:2" x14ac:dyDescent="0.3">
      <c r="A8307" s="7" t="str">
        <f>HYPERLINK("http://www.eatonpowersource.com/products/configure/pumps/details/02-137308-aar","02-137308-AAR")</f>
        <v>02-137308-AAR</v>
      </c>
      <c r="B8307" s="8" t="s">
        <v>8263</v>
      </c>
    </row>
    <row r="8308" spans="1:2" x14ac:dyDescent="0.3">
      <c r="A8308" s="5" t="str">
        <f>HYPERLINK("http://www.eatonpowersource.com/products/configure/pumps/details/02-137310-aar","02-137310-AAR")</f>
        <v>02-137310-AAR</v>
      </c>
      <c r="B8308" s="6" t="s">
        <v>8264</v>
      </c>
    </row>
    <row r="8309" spans="1:2" x14ac:dyDescent="0.3">
      <c r="A8309" s="7" t="str">
        <f>HYPERLINK("http://www.eatonpowersource.com/products/configure/pumps/details/02-137310-ccr","02-137310-CCR")</f>
        <v>02-137310-CCR</v>
      </c>
      <c r="B8309" s="8" t="s">
        <v>8265</v>
      </c>
    </row>
    <row r="8310" spans="1:2" x14ac:dyDescent="0.3">
      <c r="A8310" s="5" t="str">
        <f>HYPERLINK("http://www.eatonpowersource.com/products/configure/pumps/details/02-137311-aar","02-137311-AAR")</f>
        <v>02-137311-AAR</v>
      </c>
      <c r="B8310" s="6" t="s">
        <v>8266</v>
      </c>
    </row>
    <row r="8311" spans="1:2" x14ac:dyDescent="0.3">
      <c r="A8311" s="7" t="str">
        <f>HYPERLINK("http://www.eatonpowersource.com/products/configure/pumps/details/02-137311-bar","02-137311-BAR")</f>
        <v>02-137311-BAR</v>
      </c>
      <c r="B8311" s="8" t="s">
        <v>8267</v>
      </c>
    </row>
    <row r="8312" spans="1:2" x14ac:dyDescent="0.3">
      <c r="A8312" s="5" t="str">
        <f>HYPERLINK("http://www.eatonpowersource.com/products/configure/pumps/details/02-137313-aar","02-137313-AAR")</f>
        <v>02-137313-AAR</v>
      </c>
      <c r="B8312" s="6" t="s">
        <v>8268</v>
      </c>
    </row>
    <row r="8313" spans="1:2" x14ac:dyDescent="0.3">
      <c r="A8313" s="7" t="str">
        <f>HYPERLINK("http://www.eatonpowersource.com/products/configure/pumps/details/02-137314-aar","02-137314-AAR")</f>
        <v>02-137314-AAR</v>
      </c>
      <c r="B8313" s="8" t="s">
        <v>8269</v>
      </c>
    </row>
    <row r="8314" spans="1:2" x14ac:dyDescent="0.3">
      <c r="A8314" s="5" t="str">
        <f>HYPERLINK("http://www.eatonpowersource.com/products/configure/pumps/details/02-137315-aar","02-137315-AAR")</f>
        <v>02-137315-AAR</v>
      </c>
      <c r="B8314" s="6" t="s">
        <v>8270</v>
      </c>
    </row>
    <row r="8315" spans="1:2" x14ac:dyDescent="0.3">
      <c r="A8315" s="7" t="str">
        <f>HYPERLINK("http://www.eatonpowersource.com/products/configure/pumps/details/02-137316-aar","02-137316-AAR")</f>
        <v>02-137316-AAR</v>
      </c>
      <c r="B8315" s="8" t="s">
        <v>8271</v>
      </c>
    </row>
    <row r="8316" spans="1:2" x14ac:dyDescent="0.3">
      <c r="A8316" s="5" t="str">
        <f>HYPERLINK("http://www.eatonpowersource.com/products/configure/pumps/details/02-137317-ccr","02-137317-CCR")</f>
        <v>02-137317-CCR</v>
      </c>
      <c r="B8316" s="6" t="s">
        <v>8272</v>
      </c>
    </row>
    <row r="8317" spans="1:2" x14ac:dyDescent="0.3">
      <c r="A8317" s="7" t="str">
        <f>HYPERLINK("http://www.eatonpowersource.com/products/configure/pumps/details/02-137319-aal","02-137319-AAL")</f>
        <v>02-137319-AAL</v>
      </c>
      <c r="B8317" s="8" t="s">
        <v>8273</v>
      </c>
    </row>
    <row r="8318" spans="1:2" x14ac:dyDescent="0.3">
      <c r="A8318" s="5" t="str">
        <f>HYPERLINK("http://www.eatonpowersource.com/products/configure/pumps/details/02-137320-aar","02-137320-AAR")</f>
        <v>02-137320-AAR</v>
      </c>
      <c r="B8318" s="6" t="s">
        <v>8274</v>
      </c>
    </row>
    <row r="8319" spans="1:2" x14ac:dyDescent="0.3">
      <c r="A8319" s="7" t="str">
        <f>HYPERLINK("http://www.eatonpowersource.com/products/configure/pumps/details/02-137321-aar","02-137321-AAR")</f>
        <v>02-137321-AAR</v>
      </c>
      <c r="B8319" s="8" t="s">
        <v>8275</v>
      </c>
    </row>
    <row r="8320" spans="1:2" x14ac:dyDescent="0.3">
      <c r="A8320" s="5" t="str">
        <f>HYPERLINK("http://www.eatonpowersource.com/products/configure/pumps/details/02-137321-ccr","02-137321-CCR")</f>
        <v>02-137321-CCR</v>
      </c>
      <c r="B8320" s="6" t="s">
        <v>8276</v>
      </c>
    </row>
    <row r="8321" spans="1:2" x14ac:dyDescent="0.3">
      <c r="A8321" s="7" t="str">
        <f>HYPERLINK("http://www.eatonpowersource.com/products/configure/pumps/details/02-137325-aar","02-137325-AAR")</f>
        <v>02-137325-AAR</v>
      </c>
      <c r="B8321" s="8" t="s">
        <v>8277</v>
      </c>
    </row>
    <row r="8322" spans="1:2" x14ac:dyDescent="0.3">
      <c r="A8322" s="5" t="str">
        <f>HYPERLINK("http://www.eatonpowersource.com/products/configure/pumps/details/02-137328-ccr","02-137328-CCR")</f>
        <v>02-137328-CCR</v>
      </c>
      <c r="B8322" s="6" t="s">
        <v>8278</v>
      </c>
    </row>
    <row r="8323" spans="1:2" x14ac:dyDescent="0.3">
      <c r="A8323" s="7" t="str">
        <f>HYPERLINK("http://www.eatonpowersource.com/products/configure/pumps/details/02-137329-aar","02-137329-AAR")</f>
        <v>02-137329-AAR</v>
      </c>
      <c r="B8323" s="8" t="s">
        <v>8279</v>
      </c>
    </row>
    <row r="8324" spans="1:2" x14ac:dyDescent="0.3">
      <c r="A8324" s="5" t="str">
        <f>HYPERLINK("http://www.eatonpowersource.com/products/configure/pumps/details/02-137330-aar","02-137330-AAR")</f>
        <v>02-137330-AAR</v>
      </c>
      <c r="B8324" s="6" t="s">
        <v>8280</v>
      </c>
    </row>
    <row r="8325" spans="1:2" x14ac:dyDescent="0.3">
      <c r="A8325" s="7" t="str">
        <f>HYPERLINK("http://www.eatonpowersource.com/products/configure/pumps/details/02-137332-aar","02-137332-AAR")</f>
        <v>02-137332-AAR</v>
      </c>
      <c r="B8325" s="8" t="s">
        <v>8281</v>
      </c>
    </row>
    <row r="8326" spans="1:2" x14ac:dyDescent="0.3">
      <c r="A8326" s="5" t="str">
        <f>HYPERLINK("http://www.eatonpowersource.com/products/configure/pumps/details/02-137332-ccr","02-137332-CCR")</f>
        <v>02-137332-CCR</v>
      </c>
      <c r="B8326" s="6" t="s">
        <v>8282</v>
      </c>
    </row>
    <row r="8327" spans="1:2" x14ac:dyDescent="0.3">
      <c r="A8327" s="7" t="str">
        <f>HYPERLINK("http://www.eatonpowersource.com/products/configure/pumps/details/02-137334-adr","02-137334-ADR")</f>
        <v>02-137334-ADR</v>
      </c>
      <c r="B8327" s="8" t="s">
        <v>8283</v>
      </c>
    </row>
    <row r="8328" spans="1:2" x14ac:dyDescent="0.3">
      <c r="A8328" s="5" t="str">
        <f>HYPERLINK("http://www.eatonpowersource.com/products/configure/pumps/details/02-137334-ccr","02-137334-CCR")</f>
        <v>02-137334-CCR</v>
      </c>
      <c r="B8328" s="6" t="s">
        <v>8284</v>
      </c>
    </row>
    <row r="8329" spans="1:2" x14ac:dyDescent="0.3">
      <c r="A8329" s="7" t="str">
        <f>HYPERLINK("http://www.eatonpowersource.com/products/configure/pumps/details/02-137335-aar","02-137335-AAR")</f>
        <v>02-137335-AAR</v>
      </c>
      <c r="B8329" s="8" t="s">
        <v>8285</v>
      </c>
    </row>
    <row r="8330" spans="1:2" x14ac:dyDescent="0.3">
      <c r="A8330" s="5" t="str">
        <f>HYPERLINK("http://www.eatonpowersource.com/products/configure/pumps/details/02-137335-ccr","02-137335-CCR")</f>
        <v>02-137335-CCR</v>
      </c>
      <c r="B8330" s="6" t="s">
        <v>8286</v>
      </c>
    </row>
    <row r="8331" spans="1:2" x14ac:dyDescent="0.3">
      <c r="A8331" s="7" t="str">
        <f>HYPERLINK("http://www.eatonpowersource.com/products/configure/pumps/details/02-137336-aar","02-137336-AAR")</f>
        <v>02-137336-AAR</v>
      </c>
      <c r="B8331" s="8" t="s">
        <v>8287</v>
      </c>
    </row>
    <row r="8332" spans="1:2" x14ac:dyDescent="0.3">
      <c r="A8332" s="5" t="str">
        <f>HYPERLINK("http://www.eatonpowersource.com/products/configure/pumps/details/02-137336-bar","02-137336-BAR")</f>
        <v>02-137336-BAR</v>
      </c>
      <c r="B8332" s="6" t="s">
        <v>8288</v>
      </c>
    </row>
    <row r="8333" spans="1:2" x14ac:dyDescent="0.3">
      <c r="A8333" s="7" t="str">
        <f>HYPERLINK("http://www.eatonpowersource.com/products/configure/pumps/details/02-137336-ccr","02-137336-CCR")</f>
        <v>02-137336-CCR</v>
      </c>
      <c r="B8333" s="8" t="s">
        <v>8289</v>
      </c>
    </row>
    <row r="8334" spans="1:2" x14ac:dyDescent="0.3">
      <c r="A8334" s="5" t="str">
        <f>HYPERLINK("http://www.eatonpowersource.com/products/configure/pumps/details/02-137363-ccr","02-137363-CCR")</f>
        <v>02-137363-CCR</v>
      </c>
      <c r="B8334" s="6" t="s">
        <v>8290</v>
      </c>
    </row>
    <row r="8335" spans="1:2" x14ac:dyDescent="0.3">
      <c r="A8335" s="7" t="str">
        <f>HYPERLINK("http://www.eatonpowersource.com/products/configure/pumps/details/02-137364-aar","02-137364-AAR")</f>
        <v>02-137364-AAR</v>
      </c>
      <c r="B8335" s="8" t="s">
        <v>8291</v>
      </c>
    </row>
    <row r="8336" spans="1:2" x14ac:dyDescent="0.3">
      <c r="A8336" s="5" t="str">
        <f>HYPERLINK("http://www.eatonpowersource.com/products/configure/pumps/details/02-137365-adr","02-137365-ADR")</f>
        <v>02-137365-ADR</v>
      </c>
      <c r="B8336" s="6" t="s">
        <v>8292</v>
      </c>
    </row>
    <row r="8337" spans="1:2" x14ac:dyDescent="0.3">
      <c r="A8337" s="7" t="str">
        <f>HYPERLINK("http://www.eatonpowersource.com/products/configure/pumps/details/02-137365-ccr","02-137365-CCR")</f>
        <v>02-137365-CCR</v>
      </c>
      <c r="B8337" s="8" t="s">
        <v>8293</v>
      </c>
    </row>
    <row r="8338" spans="1:2" x14ac:dyDescent="0.3">
      <c r="A8338" s="5" t="str">
        <f>HYPERLINK("http://www.eatonpowersource.com/products/configure/pumps/details/02-137366-ccr","02-137366-CCR")</f>
        <v>02-137366-CCR</v>
      </c>
      <c r="B8338" s="6" t="s">
        <v>8294</v>
      </c>
    </row>
    <row r="8339" spans="1:2" x14ac:dyDescent="0.3">
      <c r="A8339" s="7" t="str">
        <f>HYPERLINK("http://www.eatonpowersource.com/products/configure/pumps/details/02-137368-ccr","02-137368-CCR")</f>
        <v>02-137368-CCR</v>
      </c>
      <c r="B8339" s="8" t="s">
        <v>8295</v>
      </c>
    </row>
    <row r="8340" spans="1:2" x14ac:dyDescent="0.3">
      <c r="A8340" s="5" t="str">
        <f>HYPERLINK("http://www.eatonpowersource.com/products/configure/pumps/details/02-137372-ccr","02-137372-CCR")</f>
        <v>02-137372-CCR</v>
      </c>
      <c r="B8340" s="6" t="s">
        <v>8296</v>
      </c>
    </row>
    <row r="8341" spans="1:2" x14ac:dyDescent="0.3">
      <c r="A8341" s="7" t="str">
        <f>HYPERLINK("http://www.eatonpowersource.com/products/configure/pumps/details/02-137375-ccr","02-137375-CCR")</f>
        <v>02-137375-CCR</v>
      </c>
      <c r="B8341" s="8" t="s">
        <v>8297</v>
      </c>
    </row>
    <row r="8342" spans="1:2" x14ac:dyDescent="0.3">
      <c r="A8342" s="5" t="str">
        <f>HYPERLINK("http://www.eatonpowersource.com/products/configure/pumps/details/02-137376-aar","02-137376-AAR")</f>
        <v>02-137376-AAR</v>
      </c>
      <c r="B8342" s="6" t="s">
        <v>8298</v>
      </c>
    </row>
    <row r="8343" spans="1:2" x14ac:dyDescent="0.3">
      <c r="A8343" s="7" t="str">
        <f>HYPERLINK("http://www.eatonpowersource.com/products/configure/pumps/details/02-137376-ccr","02-137376-CCR")</f>
        <v>02-137376-CCR</v>
      </c>
      <c r="B8343" s="8" t="s">
        <v>8299</v>
      </c>
    </row>
    <row r="8344" spans="1:2" x14ac:dyDescent="0.3">
      <c r="A8344" s="5" t="str">
        <f>HYPERLINK("http://www.eatonpowersource.com/products/configure/pumps/details/02-137377-aar","02-137377-AAR")</f>
        <v>02-137377-AAR</v>
      </c>
      <c r="B8344" s="6" t="s">
        <v>8300</v>
      </c>
    </row>
    <row r="8345" spans="1:2" x14ac:dyDescent="0.3">
      <c r="A8345" s="7" t="str">
        <f>HYPERLINK("http://www.eatonpowersource.com/products/configure/pumps/details/02-137380-aar","02-137380-AAR")</f>
        <v>02-137380-AAR</v>
      </c>
      <c r="B8345" s="8" t="s">
        <v>8301</v>
      </c>
    </row>
    <row r="8346" spans="1:2" x14ac:dyDescent="0.3">
      <c r="A8346" s="5" t="str">
        <f>HYPERLINK("http://www.eatonpowersource.com/products/configure/pumps/details/02-137383-bbr","02-137383-BBR")</f>
        <v>02-137383-BBR</v>
      </c>
      <c r="B8346" s="6" t="s">
        <v>8302</v>
      </c>
    </row>
    <row r="8347" spans="1:2" x14ac:dyDescent="0.3">
      <c r="A8347" s="7" t="str">
        <f>HYPERLINK("http://www.eatonpowersource.com/products/configure/pumps/details/02-137384-aar","02-137384-AAR")</f>
        <v>02-137384-AAR</v>
      </c>
      <c r="B8347" s="8" t="s">
        <v>8303</v>
      </c>
    </row>
    <row r="8348" spans="1:2" x14ac:dyDescent="0.3">
      <c r="A8348" s="5" t="str">
        <f>HYPERLINK("http://www.eatonpowersource.com/products/configure/pumps/details/02-137385-aar","02-137385-AAR")</f>
        <v>02-137385-AAR</v>
      </c>
      <c r="B8348" s="6" t="s">
        <v>8304</v>
      </c>
    </row>
    <row r="8349" spans="1:2" x14ac:dyDescent="0.3">
      <c r="A8349" s="7" t="str">
        <f>HYPERLINK("http://www.eatonpowersource.com/products/configure/pumps/details/02-137388-aar","02-137388-AAR")</f>
        <v>02-137388-AAR</v>
      </c>
      <c r="B8349" s="8" t="s">
        <v>8305</v>
      </c>
    </row>
    <row r="8350" spans="1:2" x14ac:dyDescent="0.3">
      <c r="A8350" s="5" t="str">
        <f>HYPERLINK("http://www.eatonpowersource.com/products/configure/pumps/details/02-137388-ccr","02-137388-CCR")</f>
        <v>02-137388-CCR</v>
      </c>
      <c r="B8350" s="6" t="s">
        <v>8306</v>
      </c>
    </row>
    <row r="8351" spans="1:2" x14ac:dyDescent="0.3">
      <c r="A8351" s="7" t="str">
        <f>HYPERLINK("http://www.eatonpowersource.com/products/configure/pumps/details/02-137389-aar","02-137389-AAR")</f>
        <v>02-137389-AAR</v>
      </c>
      <c r="B8351" s="8" t="s">
        <v>8307</v>
      </c>
    </row>
    <row r="8352" spans="1:2" x14ac:dyDescent="0.3">
      <c r="A8352" s="5" t="str">
        <f>HYPERLINK("http://www.eatonpowersource.com/products/configure/pumps/details/02-137391-bbr","02-137391-BBR")</f>
        <v>02-137391-BBR</v>
      </c>
      <c r="B8352" s="6" t="s">
        <v>8308</v>
      </c>
    </row>
    <row r="8353" spans="1:2" x14ac:dyDescent="0.3">
      <c r="A8353" s="7" t="str">
        <f>HYPERLINK("http://www.eatonpowersource.com/products/configure/pumps/details/02-137392-ccr","02-137392-CCR")</f>
        <v>02-137392-CCR</v>
      </c>
      <c r="B8353" s="8" t="s">
        <v>8309</v>
      </c>
    </row>
    <row r="8354" spans="1:2" x14ac:dyDescent="0.3">
      <c r="A8354" s="5" t="str">
        <f>HYPERLINK("http://www.eatonpowersource.com/products/configure/pumps/details/02-137394-acr","02-137394-ACR")</f>
        <v>02-137394-ACR</v>
      </c>
      <c r="B8354" s="6" t="s">
        <v>8310</v>
      </c>
    </row>
    <row r="8355" spans="1:2" x14ac:dyDescent="0.3">
      <c r="A8355" s="7" t="str">
        <f>HYPERLINK("http://www.eatonpowersource.com/products/configure/pumps/details/02-137394-ccr","02-137394-CCR")</f>
        <v>02-137394-CCR</v>
      </c>
      <c r="B8355" s="8" t="s">
        <v>8311</v>
      </c>
    </row>
    <row r="8356" spans="1:2" x14ac:dyDescent="0.3">
      <c r="A8356" s="5" t="str">
        <f>HYPERLINK("http://www.eatonpowersource.com/products/configure/pumps/details/02-137395-aar","02-137395-AAR")</f>
        <v>02-137395-AAR</v>
      </c>
      <c r="B8356" s="6" t="s">
        <v>8312</v>
      </c>
    </row>
    <row r="8357" spans="1:2" x14ac:dyDescent="0.3">
      <c r="A8357" s="7" t="str">
        <f>HYPERLINK("http://www.eatonpowersource.com/products/configure/pumps/details/02-137397-aar","02-137397-AAR")</f>
        <v>02-137397-AAR</v>
      </c>
      <c r="B8357" s="8" t="s">
        <v>8313</v>
      </c>
    </row>
    <row r="8358" spans="1:2" x14ac:dyDescent="0.3">
      <c r="A8358" s="5" t="str">
        <f>HYPERLINK("http://www.eatonpowersource.com/products/configure/pumps/details/02-137399-ccr","02-137399-CCR")</f>
        <v>02-137399-CCR</v>
      </c>
      <c r="B8358" s="6" t="s">
        <v>8314</v>
      </c>
    </row>
    <row r="8359" spans="1:2" x14ac:dyDescent="0.3">
      <c r="A8359" s="7" t="str">
        <f>HYPERLINK("http://www.eatonpowersource.com/products/configure/pumps/details/02-137401-aar","02-137401-AAR")</f>
        <v>02-137401-AAR</v>
      </c>
      <c r="B8359" s="8" t="s">
        <v>8315</v>
      </c>
    </row>
    <row r="8360" spans="1:2" x14ac:dyDescent="0.3">
      <c r="A8360" s="5" t="str">
        <f>HYPERLINK("http://www.eatonpowersource.com/products/configure/pumps/details/02-137401-ccr","02-137401-CCR")</f>
        <v>02-137401-CCR</v>
      </c>
      <c r="B8360" s="6" t="s">
        <v>8316</v>
      </c>
    </row>
    <row r="8361" spans="1:2" x14ac:dyDescent="0.3">
      <c r="A8361" s="7" t="str">
        <f>HYPERLINK("http://www.eatonpowersource.com/products/configure/pumps/details/02-137406-bbr","02-137406-BBR")</f>
        <v>02-137406-BBR</v>
      </c>
      <c r="B8361" s="8" t="s">
        <v>8317</v>
      </c>
    </row>
    <row r="8362" spans="1:2" x14ac:dyDescent="0.3">
      <c r="A8362" s="5" t="str">
        <f>HYPERLINK("http://www.eatonpowersource.com/products/configure/pumps/details/02-137423-adr","02-137423-ADR")</f>
        <v>02-137423-ADR</v>
      </c>
      <c r="B8362" s="6" t="s">
        <v>8318</v>
      </c>
    </row>
    <row r="8363" spans="1:2" x14ac:dyDescent="0.3">
      <c r="A8363" s="7" t="str">
        <f>HYPERLINK("http://www.eatonpowersource.com/products/configure/pumps/details/02-137425-aar","02-137425-AAR")</f>
        <v>02-137425-AAR</v>
      </c>
      <c r="B8363" s="8" t="s">
        <v>8319</v>
      </c>
    </row>
    <row r="8364" spans="1:2" x14ac:dyDescent="0.3">
      <c r="A8364" s="5" t="str">
        <f>HYPERLINK("http://www.eatonpowersource.com/products/configure/pumps/details/02-137425-ccr","02-137425-CCR")</f>
        <v>02-137425-CCR</v>
      </c>
      <c r="B8364" s="6" t="s">
        <v>8320</v>
      </c>
    </row>
    <row r="8365" spans="1:2" x14ac:dyDescent="0.3">
      <c r="A8365" s="7" t="str">
        <f>HYPERLINK("http://www.eatonpowersource.com/products/configure/pumps/details/02-137427-ddr","02-137427-DDR")</f>
        <v>02-137427-DDR</v>
      </c>
      <c r="B8365" s="8" t="s">
        <v>8321</v>
      </c>
    </row>
    <row r="8366" spans="1:2" x14ac:dyDescent="0.3">
      <c r="A8366" s="5" t="str">
        <f>HYPERLINK("http://www.eatonpowersource.com/products/configure/pumps/details/02-137428-aar","02-137428-AAR")</f>
        <v>02-137428-AAR</v>
      </c>
      <c r="B8366" s="6" t="s">
        <v>8322</v>
      </c>
    </row>
    <row r="8367" spans="1:2" x14ac:dyDescent="0.3">
      <c r="A8367" s="7" t="str">
        <f>HYPERLINK("http://www.eatonpowersource.com/products/configure/pumps/details/02-137428-adr","02-137428-ADR")</f>
        <v>02-137428-ADR</v>
      </c>
      <c r="B8367" s="8" t="s">
        <v>8323</v>
      </c>
    </row>
    <row r="8368" spans="1:2" x14ac:dyDescent="0.3">
      <c r="A8368" s="5" t="str">
        <f>HYPERLINK("http://www.eatonpowersource.com/products/configure/pumps/details/02-137428-ccr","02-137428-CCR")</f>
        <v>02-137428-CCR</v>
      </c>
      <c r="B8368" s="6" t="s">
        <v>8324</v>
      </c>
    </row>
    <row r="8369" spans="1:2" x14ac:dyDescent="0.3">
      <c r="A8369" s="7" t="str">
        <f>HYPERLINK("http://www.eatonpowersource.com/products/configure/pumps/details/02-137430-aar","02-137430-AAR")</f>
        <v>02-137430-AAR</v>
      </c>
      <c r="B8369" s="8" t="s">
        <v>8325</v>
      </c>
    </row>
    <row r="8370" spans="1:2" x14ac:dyDescent="0.3">
      <c r="A8370" s="5" t="str">
        <f>HYPERLINK("http://www.eatonpowersource.com/products/configure/pumps/details/02-137430-ccr","02-137430-CCR")</f>
        <v>02-137430-CCR</v>
      </c>
      <c r="B8370" s="6" t="s">
        <v>8326</v>
      </c>
    </row>
    <row r="8371" spans="1:2" x14ac:dyDescent="0.3">
      <c r="A8371" s="7" t="str">
        <f>HYPERLINK("http://www.eatonpowersource.com/products/configure/pumps/details/02-137431-aar","02-137431-AAR")</f>
        <v>02-137431-AAR</v>
      </c>
      <c r="B8371" s="8" t="s">
        <v>8327</v>
      </c>
    </row>
    <row r="8372" spans="1:2" x14ac:dyDescent="0.3">
      <c r="A8372" s="5" t="str">
        <f>HYPERLINK("http://www.eatonpowersource.com/products/configure/pumps/details/02-137432-aar","02-137432-AAR")</f>
        <v>02-137432-AAR</v>
      </c>
      <c r="B8372" s="6" t="s">
        <v>8328</v>
      </c>
    </row>
    <row r="8373" spans="1:2" x14ac:dyDescent="0.3">
      <c r="A8373" s="7" t="str">
        <f>HYPERLINK("http://www.eatonpowersource.com/products/configure/pumps/details/02-137433-ccr","02-137433-CCR")</f>
        <v>02-137433-CCR</v>
      </c>
      <c r="B8373" s="8" t="s">
        <v>8329</v>
      </c>
    </row>
    <row r="8374" spans="1:2" x14ac:dyDescent="0.3">
      <c r="A8374" s="5" t="str">
        <f>HYPERLINK("http://www.eatonpowersource.com/products/configure/pumps/details/02-137433-dcr","02-137433-DCR")</f>
        <v>02-137433-DCR</v>
      </c>
      <c r="B8374" s="6" t="s">
        <v>8330</v>
      </c>
    </row>
    <row r="8375" spans="1:2" x14ac:dyDescent="0.3">
      <c r="A8375" s="7" t="str">
        <f>HYPERLINK("http://www.eatonpowersource.com/products/configure/pumps/details/02-137434-aar","02-137434-AAR")</f>
        <v>02-137434-AAR</v>
      </c>
      <c r="B8375" s="8" t="s">
        <v>8331</v>
      </c>
    </row>
    <row r="8376" spans="1:2" x14ac:dyDescent="0.3">
      <c r="A8376" s="5" t="str">
        <f>HYPERLINK("http://www.eatonpowersource.com/products/configure/pumps/details/02-137434-bbr","02-137434-BBR")</f>
        <v>02-137434-BBR</v>
      </c>
      <c r="B8376" s="6" t="s">
        <v>8332</v>
      </c>
    </row>
    <row r="8377" spans="1:2" x14ac:dyDescent="0.3">
      <c r="A8377" s="7" t="str">
        <f>HYPERLINK("http://www.eatonpowersource.com/products/configure/pumps/details/02-137435-aar","02-137435-AAR")</f>
        <v>02-137435-AAR</v>
      </c>
      <c r="B8377" s="8" t="s">
        <v>8333</v>
      </c>
    </row>
    <row r="8378" spans="1:2" x14ac:dyDescent="0.3">
      <c r="A8378" s="5" t="str">
        <f>HYPERLINK("http://www.eatonpowersource.com/products/configure/pumps/details/02-137436-aar","02-137436-AAR")</f>
        <v>02-137436-AAR</v>
      </c>
      <c r="B8378" s="6" t="s">
        <v>8334</v>
      </c>
    </row>
    <row r="8379" spans="1:2" x14ac:dyDescent="0.3">
      <c r="A8379" s="7" t="str">
        <f>HYPERLINK("http://www.eatonpowersource.com/products/configure/pumps/details/02-137436-bar","02-137436-BAR")</f>
        <v>02-137436-BAR</v>
      </c>
      <c r="B8379" s="8" t="s">
        <v>8335</v>
      </c>
    </row>
    <row r="8380" spans="1:2" x14ac:dyDescent="0.3">
      <c r="A8380" s="5" t="str">
        <f>HYPERLINK("http://www.eatonpowersource.com/products/configure/pumps/details/02-137436-ccr","02-137436-CCR")</f>
        <v>02-137436-CCR</v>
      </c>
      <c r="B8380" s="6" t="s">
        <v>8336</v>
      </c>
    </row>
    <row r="8381" spans="1:2" x14ac:dyDescent="0.3">
      <c r="A8381" s="7" t="str">
        <f>HYPERLINK("http://www.eatonpowersource.com/products/configure/pumps/details/02-137437-aar","02-137437-AAR")</f>
        <v>02-137437-AAR</v>
      </c>
      <c r="B8381" s="8" t="s">
        <v>8337</v>
      </c>
    </row>
    <row r="8382" spans="1:2" x14ac:dyDescent="0.3">
      <c r="A8382" s="5" t="str">
        <f>HYPERLINK("http://www.eatonpowersource.com/products/configure/pumps/details/02-137441-aar","02-137441-AAR")</f>
        <v>02-137441-AAR</v>
      </c>
      <c r="B8382" s="6" t="s">
        <v>8338</v>
      </c>
    </row>
    <row r="8383" spans="1:2" x14ac:dyDescent="0.3">
      <c r="A8383" s="7" t="str">
        <f>HYPERLINK("http://www.eatonpowersource.com/products/configure/pumps/details/02-137443-ccr","02-137443-CCR")</f>
        <v>02-137443-CCR</v>
      </c>
      <c r="B8383" s="8" t="s">
        <v>8339</v>
      </c>
    </row>
    <row r="8384" spans="1:2" x14ac:dyDescent="0.3">
      <c r="A8384" s="5" t="str">
        <f>HYPERLINK("http://www.eatonpowersource.com/products/configure/pumps/details/02-137444-aar","02-137444-AAR")</f>
        <v>02-137444-AAR</v>
      </c>
      <c r="B8384" s="6" t="s">
        <v>8340</v>
      </c>
    </row>
    <row r="8385" spans="1:2" x14ac:dyDescent="0.3">
      <c r="A8385" s="7" t="str">
        <f>HYPERLINK("http://www.eatonpowersource.com/products/configure/pumps/details/02-137444-bbr","02-137444-BBR")</f>
        <v>02-137444-BBR</v>
      </c>
      <c r="B8385" s="8" t="s">
        <v>8341</v>
      </c>
    </row>
    <row r="8386" spans="1:2" x14ac:dyDescent="0.3">
      <c r="A8386" s="5" t="str">
        <f>HYPERLINK("http://www.eatonpowersource.com/products/configure/pumps/details/02-137445-aar","02-137445-AAR")</f>
        <v>02-137445-AAR</v>
      </c>
      <c r="B8386" s="6" t="s">
        <v>8342</v>
      </c>
    </row>
    <row r="8387" spans="1:2" x14ac:dyDescent="0.3">
      <c r="A8387" s="7" t="str">
        <f>HYPERLINK("http://www.eatonpowersource.com/products/configure/pumps/details/02-137445-ccr","02-137445-CCR")</f>
        <v>02-137445-CCR</v>
      </c>
      <c r="B8387" s="8" t="s">
        <v>8343</v>
      </c>
    </row>
    <row r="8388" spans="1:2" x14ac:dyDescent="0.3">
      <c r="A8388" s="5" t="str">
        <f>HYPERLINK("http://www.eatonpowersource.com/products/configure/pumps/details/02-137446-aar","02-137446-AAR")</f>
        <v>02-137446-AAR</v>
      </c>
      <c r="B8388" s="6" t="s">
        <v>8344</v>
      </c>
    </row>
    <row r="8389" spans="1:2" x14ac:dyDescent="0.3">
      <c r="A8389" s="7" t="str">
        <f>HYPERLINK("http://www.eatonpowersource.com/products/configure/pumps/details/02-137447-aar","02-137447-AAR")</f>
        <v>02-137447-AAR</v>
      </c>
      <c r="B8389" s="8" t="s">
        <v>8345</v>
      </c>
    </row>
    <row r="8390" spans="1:2" x14ac:dyDescent="0.3">
      <c r="A8390" s="5" t="str">
        <f>HYPERLINK("http://www.eatonpowersource.com/products/configure/pumps/details/02-137447-ccl","02-137447-CCL")</f>
        <v>02-137447-CCL</v>
      </c>
      <c r="B8390" s="6" t="s">
        <v>8346</v>
      </c>
    </row>
    <row r="8391" spans="1:2" x14ac:dyDescent="0.3">
      <c r="A8391" s="7" t="str">
        <f>HYPERLINK("http://www.eatonpowersource.com/products/configure/pumps/details/02-137447-ccr","02-137447-CCR")</f>
        <v>02-137447-CCR</v>
      </c>
      <c r="B8391" s="8" t="s">
        <v>8347</v>
      </c>
    </row>
    <row r="8392" spans="1:2" x14ac:dyDescent="0.3">
      <c r="A8392" s="5" t="str">
        <f>HYPERLINK("http://www.eatonpowersource.com/products/configure/pumps/details/02-137447-dar","02-137447-DAR")</f>
        <v>02-137447-DAR</v>
      </c>
      <c r="B8392" s="6" t="s">
        <v>8348</v>
      </c>
    </row>
    <row r="8393" spans="1:2" x14ac:dyDescent="0.3">
      <c r="A8393" s="7" t="str">
        <f>HYPERLINK("http://www.eatonpowersource.com/products/configure/pumps/details/02-137457-ddr","02-137457-DDR")</f>
        <v>02-137457-DDR</v>
      </c>
      <c r="B8393" s="8" t="s">
        <v>8349</v>
      </c>
    </row>
    <row r="8394" spans="1:2" x14ac:dyDescent="0.3">
      <c r="A8394" s="5" t="str">
        <f>HYPERLINK("http://www.eatonpowersource.com/products/configure/pumps/details/02-137458-aar","02-137458-AAR")</f>
        <v>02-137458-AAR</v>
      </c>
      <c r="B8394" s="6" t="s">
        <v>8350</v>
      </c>
    </row>
    <row r="8395" spans="1:2" x14ac:dyDescent="0.3">
      <c r="A8395" s="7" t="str">
        <f>HYPERLINK("http://www.eatonpowersource.com/products/configure/pumps/details/02-137458-dbr","02-137458-DBR")</f>
        <v>02-137458-DBR</v>
      </c>
      <c r="B8395" s="8" t="s">
        <v>8351</v>
      </c>
    </row>
    <row r="8396" spans="1:2" x14ac:dyDescent="0.3">
      <c r="A8396" s="5" t="str">
        <f>HYPERLINK("http://www.eatonpowersource.com/products/configure/pumps/details/02-137460-aar","02-137460-AAR")</f>
        <v>02-137460-AAR</v>
      </c>
      <c r="B8396" s="6" t="s">
        <v>8352</v>
      </c>
    </row>
    <row r="8397" spans="1:2" x14ac:dyDescent="0.3">
      <c r="A8397" s="7" t="str">
        <f>HYPERLINK("http://www.eatonpowersource.com/products/configure/pumps/details/02-137460-abr","02-137460-ABR")</f>
        <v>02-137460-ABR</v>
      </c>
      <c r="B8397" s="8" t="s">
        <v>8353</v>
      </c>
    </row>
    <row r="8398" spans="1:2" x14ac:dyDescent="0.3">
      <c r="A8398" s="5" t="str">
        <f>HYPERLINK("http://www.eatonpowersource.com/products/configure/pumps/details/02-137461-ccr","02-137461-CCR")</f>
        <v>02-137461-CCR</v>
      </c>
      <c r="B8398" s="6" t="s">
        <v>8354</v>
      </c>
    </row>
    <row r="8399" spans="1:2" x14ac:dyDescent="0.3">
      <c r="A8399" s="7" t="str">
        <f>HYPERLINK("http://www.eatonpowersource.com/products/configure/pumps/details/02-137462-aar","02-137462-AAR")</f>
        <v>02-137462-AAR</v>
      </c>
      <c r="B8399" s="8" t="s">
        <v>8355</v>
      </c>
    </row>
    <row r="8400" spans="1:2" x14ac:dyDescent="0.3">
      <c r="A8400" s="5" t="str">
        <f>HYPERLINK("http://www.eatonpowersource.com/products/configure/pumps/details/02-137463-acr","02-137463-ACR")</f>
        <v>02-137463-ACR</v>
      </c>
      <c r="B8400" s="6" t="s">
        <v>8356</v>
      </c>
    </row>
    <row r="8401" spans="1:2" x14ac:dyDescent="0.3">
      <c r="A8401" s="7" t="str">
        <f>HYPERLINK("http://www.eatonpowersource.com/products/configure/pumps/details/02-137464-aar","02-137464-AAR")</f>
        <v>02-137464-AAR</v>
      </c>
      <c r="B8401" s="8" t="s">
        <v>8357</v>
      </c>
    </row>
    <row r="8402" spans="1:2" x14ac:dyDescent="0.3">
      <c r="A8402" s="5" t="str">
        <f>HYPERLINK("http://www.eatonpowersource.com/products/configure/pumps/details/02-137467-aar","02-137467-AAR")</f>
        <v>02-137467-AAR</v>
      </c>
      <c r="B8402" s="6" t="s">
        <v>8358</v>
      </c>
    </row>
    <row r="8403" spans="1:2" x14ac:dyDescent="0.3">
      <c r="A8403" s="7" t="str">
        <f>HYPERLINK("http://www.eatonpowersource.com/products/configure/pumps/details/02-137467-bbr","02-137467-BBR")</f>
        <v>02-137467-BBR</v>
      </c>
      <c r="B8403" s="8" t="s">
        <v>8359</v>
      </c>
    </row>
    <row r="8404" spans="1:2" x14ac:dyDescent="0.3">
      <c r="A8404" s="5" t="str">
        <f>HYPERLINK("http://www.eatonpowersource.com/products/configure/pumps/details/02-137467-bdr","02-137467-BDR")</f>
        <v>02-137467-BDR</v>
      </c>
      <c r="B8404" s="6" t="s">
        <v>8360</v>
      </c>
    </row>
    <row r="8405" spans="1:2" x14ac:dyDescent="0.3">
      <c r="A8405" s="7" t="str">
        <f>HYPERLINK("http://www.eatonpowersource.com/products/configure/pumps/details/02-137467-ccr","02-137467-CCR")</f>
        <v>02-137467-CCR</v>
      </c>
      <c r="B8405" s="8" t="s">
        <v>8361</v>
      </c>
    </row>
    <row r="8406" spans="1:2" x14ac:dyDescent="0.3">
      <c r="A8406" s="5" t="str">
        <f>HYPERLINK("http://www.eatonpowersource.com/products/configure/pumps/details/02-137469-ccr","02-137469-CCR")</f>
        <v>02-137469-CCR</v>
      </c>
      <c r="B8406" s="6" t="s">
        <v>8362</v>
      </c>
    </row>
    <row r="8407" spans="1:2" x14ac:dyDescent="0.3">
      <c r="A8407" s="7" t="str">
        <f>HYPERLINK("http://www.eatonpowersource.com/products/configure/pumps/details/02-137470-aar","02-137470-AAR")</f>
        <v>02-137470-AAR</v>
      </c>
      <c r="B8407" s="8" t="s">
        <v>8363</v>
      </c>
    </row>
    <row r="8408" spans="1:2" x14ac:dyDescent="0.3">
      <c r="A8408" s="5" t="str">
        <f>HYPERLINK("http://www.eatonpowersource.com/products/configure/pumps/details/02-137470-ccr","02-137470-CCR")</f>
        <v>02-137470-CCR</v>
      </c>
      <c r="B8408" s="6" t="s">
        <v>8364</v>
      </c>
    </row>
    <row r="8409" spans="1:2" x14ac:dyDescent="0.3">
      <c r="A8409" s="7" t="str">
        <f>HYPERLINK("http://www.eatonpowersource.com/products/configure/pumps/details/02-137470-ddr","02-137470-DDR")</f>
        <v>02-137470-DDR</v>
      </c>
      <c r="B8409" s="8" t="s">
        <v>8365</v>
      </c>
    </row>
    <row r="8410" spans="1:2" x14ac:dyDescent="0.3">
      <c r="A8410" s="5" t="str">
        <f>HYPERLINK("http://www.eatonpowersource.com/products/configure/pumps/details/02-137472-aar","02-137472-AAR")</f>
        <v>02-137472-AAR</v>
      </c>
      <c r="B8410" s="6" t="s">
        <v>8366</v>
      </c>
    </row>
    <row r="8411" spans="1:2" x14ac:dyDescent="0.3">
      <c r="A8411" s="7" t="str">
        <f>HYPERLINK("http://www.eatonpowersource.com/products/configure/pumps/details/02-137474-aar","02-137474-AAR")</f>
        <v>02-137474-AAR</v>
      </c>
      <c r="B8411" s="8" t="s">
        <v>8367</v>
      </c>
    </row>
    <row r="8412" spans="1:2" x14ac:dyDescent="0.3">
      <c r="A8412" s="5" t="str">
        <f>HYPERLINK("http://www.eatonpowersource.com/products/configure/pumps/details/02-137474-ccr","02-137474-CCR")</f>
        <v>02-137474-CCR</v>
      </c>
      <c r="B8412" s="6" t="s">
        <v>8368</v>
      </c>
    </row>
    <row r="8413" spans="1:2" x14ac:dyDescent="0.3">
      <c r="A8413" s="7" t="str">
        <f>HYPERLINK("http://www.eatonpowersource.com/products/configure/pumps/details/02-137475-aar","02-137475-AAR")</f>
        <v>02-137475-AAR</v>
      </c>
      <c r="B8413" s="8" t="s">
        <v>8369</v>
      </c>
    </row>
    <row r="8414" spans="1:2" x14ac:dyDescent="0.3">
      <c r="A8414" s="5" t="str">
        <f>HYPERLINK("http://www.eatonpowersource.com/products/configure/pumps/details/02-137475-ccl","02-137475-CCL")</f>
        <v>02-137475-CCL</v>
      </c>
      <c r="B8414" s="6" t="s">
        <v>8370</v>
      </c>
    </row>
    <row r="8415" spans="1:2" x14ac:dyDescent="0.3">
      <c r="A8415" s="7" t="str">
        <f>HYPERLINK("http://www.eatonpowersource.com/products/configure/pumps/details/02-137476-aar","02-137476-AAR")</f>
        <v>02-137476-AAR</v>
      </c>
      <c r="B8415" s="8" t="s">
        <v>8371</v>
      </c>
    </row>
    <row r="8416" spans="1:2" x14ac:dyDescent="0.3">
      <c r="A8416" s="5" t="str">
        <f>HYPERLINK("http://www.eatonpowersource.com/products/configure/pumps/details/02-137476-ddr","02-137476-DDR")</f>
        <v>02-137476-DDR</v>
      </c>
      <c r="B8416" s="6" t="s">
        <v>8372</v>
      </c>
    </row>
    <row r="8417" spans="1:2" x14ac:dyDescent="0.3">
      <c r="A8417" s="7" t="str">
        <f>HYPERLINK("http://www.eatonpowersource.com/products/configure/pumps/details/02-137477-aar","02-137477-AAR")</f>
        <v>02-137477-AAR</v>
      </c>
      <c r="B8417" s="8" t="s">
        <v>8373</v>
      </c>
    </row>
    <row r="8418" spans="1:2" x14ac:dyDescent="0.3">
      <c r="A8418" s="5" t="str">
        <f>HYPERLINK("http://www.eatonpowersource.com/products/configure/pumps/details/02-137477-ddr","02-137477-DDR")</f>
        <v>02-137477-DDR</v>
      </c>
      <c r="B8418" s="6" t="s">
        <v>8374</v>
      </c>
    </row>
    <row r="8419" spans="1:2" x14ac:dyDescent="0.3">
      <c r="A8419" s="7" t="str">
        <f>HYPERLINK("http://www.eatonpowersource.com/products/configure/pumps/details/02-137478-aar","02-137478-AAR")</f>
        <v>02-137478-AAR</v>
      </c>
      <c r="B8419" s="8" t="s">
        <v>8375</v>
      </c>
    </row>
    <row r="8420" spans="1:2" x14ac:dyDescent="0.3">
      <c r="A8420" s="5" t="str">
        <f>HYPERLINK("http://www.eatonpowersource.com/products/configure/pumps/details/02-137479-aal","02-137479-AAL")</f>
        <v>02-137479-AAL</v>
      </c>
      <c r="B8420" s="6" t="s">
        <v>8376</v>
      </c>
    </row>
    <row r="8421" spans="1:2" x14ac:dyDescent="0.3">
      <c r="A8421" s="7" t="str">
        <f>HYPERLINK("http://www.eatonpowersource.com/products/configure/pumps/details/02-137479-aar","02-137479-AAR")</f>
        <v>02-137479-AAR</v>
      </c>
      <c r="B8421" s="8" t="s">
        <v>8377</v>
      </c>
    </row>
    <row r="8422" spans="1:2" x14ac:dyDescent="0.3">
      <c r="A8422" s="5" t="str">
        <f>HYPERLINK("http://www.eatonpowersource.com/products/configure/pumps/details/02-137479-ccr","02-137479-CCR")</f>
        <v>02-137479-CCR</v>
      </c>
      <c r="B8422" s="6" t="s">
        <v>8378</v>
      </c>
    </row>
    <row r="8423" spans="1:2" x14ac:dyDescent="0.3">
      <c r="A8423" s="7" t="str">
        <f>HYPERLINK("http://www.eatonpowersource.com/products/configure/pumps/details/02-137479-ddr","02-137479-DDR")</f>
        <v>02-137479-DDR</v>
      </c>
      <c r="B8423" s="8" t="s">
        <v>8379</v>
      </c>
    </row>
    <row r="8424" spans="1:2" x14ac:dyDescent="0.3">
      <c r="A8424" s="5" t="str">
        <f>HYPERLINK("http://www.eatonpowersource.com/products/configure/pumps/details/02-137482-aar","02-137482-AAR")</f>
        <v>02-137482-AAR</v>
      </c>
      <c r="B8424" s="6" t="s">
        <v>8380</v>
      </c>
    </row>
    <row r="8425" spans="1:2" x14ac:dyDescent="0.3">
      <c r="A8425" s="7" t="str">
        <f>HYPERLINK("http://www.eatonpowersource.com/products/configure/pumps/details/02-137482-ccl","02-137482-CCL")</f>
        <v>02-137482-CCL</v>
      </c>
      <c r="B8425" s="8" t="s">
        <v>8381</v>
      </c>
    </row>
    <row r="8426" spans="1:2" x14ac:dyDescent="0.3">
      <c r="A8426" s="5" t="str">
        <f>HYPERLINK("http://www.eatonpowersource.com/products/configure/pumps/details/02-137482-ccr","02-137482-CCR")</f>
        <v>02-137482-CCR</v>
      </c>
      <c r="B8426" s="6" t="s">
        <v>8382</v>
      </c>
    </row>
    <row r="8427" spans="1:2" x14ac:dyDescent="0.3">
      <c r="A8427" s="7" t="str">
        <f>HYPERLINK("http://www.eatonpowersource.com/products/configure/pumps/details/02-137483-aar","02-137483-AAR")</f>
        <v>02-137483-AAR</v>
      </c>
      <c r="B8427" s="8" t="s">
        <v>8383</v>
      </c>
    </row>
    <row r="8428" spans="1:2" x14ac:dyDescent="0.3">
      <c r="A8428" s="5" t="str">
        <f>HYPERLINK("http://www.eatonpowersource.com/products/configure/pumps/details/02-137483-abl","02-137483-ABL")</f>
        <v>02-137483-ABL</v>
      </c>
      <c r="B8428" s="6" t="s">
        <v>8384</v>
      </c>
    </row>
    <row r="8429" spans="1:2" x14ac:dyDescent="0.3">
      <c r="A8429" s="7" t="str">
        <f>HYPERLINK("http://www.eatonpowersource.com/products/configure/pumps/details/02-137483-ccl","02-137483-CCL")</f>
        <v>02-137483-CCL</v>
      </c>
      <c r="B8429" s="8" t="s">
        <v>8385</v>
      </c>
    </row>
    <row r="8430" spans="1:2" x14ac:dyDescent="0.3">
      <c r="A8430" s="5" t="str">
        <f>HYPERLINK("http://www.eatonpowersource.com/products/configure/pumps/details/02-137483-ccr","02-137483-CCR")</f>
        <v>02-137483-CCR</v>
      </c>
      <c r="B8430" s="6" t="s">
        <v>8386</v>
      </c>
    </row>
    <row r="8431" spans="1:2" x14ac:dyDescent="0.3">
      <c r="A8431" s="7" t="str">
        <f>HYPERLINK("http://www.eatonpowersource.com/products/configure/pumps/details/02-137484-aar","02-137484-AAR")</f>
        <v>02-137484-AAR</v>
      </c>
      <c r="B8431" s="8" t="s">
        <v>8387</v>
      </c>
    </row>
    <row r="8432" spans="1:2" x14ac:dyDescent="0.3">
      <c r="A8432" s="5" t="str">
        <f>HYPERLINK("http://www.eatonpowersource.com/products/configure/pumps/details/02-137484-ccr","02-137484-CCR")</f>
        <v>02-137484-CCR</v>
      </c>
      <c r="B8432" s="6" t="s">
        <v>8388</v>
      </c>
    </row>
    <row r="8433" spans="1:2" x14ac:dyDescent="0.3">
      <c r="A8433" s="7" t="str">
        <f>HYPERLINK("http://www.eatonpowersource.com/products/configure/pumps/details/02-137485-aar","02-137485-AAR")</f>
        <v>02-137485-AAR</v>
      </c>
      <c r="B8433" s="8" t="s">
        <v>8389</v>
      </c>
    </row>
    <row r="8434" spans="1:2" x14ac:dyDescent="0.3">
      <c r="A8434" s="5" t="str">
        <f>HYPERLINK("http://www.eatonpowersource.com/products/configure/pumps/details/02-137485-adr","02-137485-ADR")</f>
        <v>02-137485-ADR</v>
      </c>
      <c r="B8434" s="6" t="s">
        <v>8390</v>
      </c>
    </row>
    <row r="8435" spans="1:2" x14ac:dyDescent="0.3">
      <c r="A8435" s="7" t="str">
        <f>HYPERLINK("http://www.eatonpowersource.com/products/configure/pumps/details/02-137485-ccr","02-137485-CCR")</f>
        <v>02-137485-CCR</v>
      </c>
      <c r="B8435" s="8" t="s">
        <v>8391</v>
      </c>
    </row>
    <row r="8436" spans="1:2" x14ac:dyDescent="0.3">
      <c r="A8436" s="5" t="str">
        <f>HYPERLINK("http://www.eatonpowersource.com/products/configure/pumps/details/02-137485-ddr","02-137485-DDR")</f>
        <v>02-137485-DDR</v>
      </c>
      <c r="B8436" s="6" t="s">
        <v>8392</v>
      </c>
    </row>
    <row r="8437" spans="1:2" x14ac:dyDescent="0.3">
      <c r="A8437" s="7" t="str">
        <f>HYPERLINK("http://www.eatonpowersource.com/products/configure/pumps/details/02-142783-aar","02-142783-AAR")</f>
        <v>02-142783-AAR</v>
      </c>
      <c r="B8437" s="8" t="s">
        <v>8393</v>
      </c>
    </row>
    <row r="8438" spans="1:2" x14ac:dyDescent="0.3">
      <c r="A8438" s="5" t="str">
        <f>HYPERLINK("http://www.eatonpowersource.com/products/configure/pumps/details/02-142786-dcr","02-142786-DCR")</f>
        <v>02-142786-DCR</v>
      </c>
      <c r="B8438" s="6" t="s">
        <v>8394</v>
      </c>
    </row>
    <row r="8439" spans="1:2" x14ac:dyDescent="0.3">
      <c r="A8439" s="7" t="str">
        <f>HYPERLINK("http://www.eatonpowersource.com/products/configure/pumps/details/02-142794-aar","02-142794-AAR")</f>
        <v>02-142794-AAR</v>
      </c>
      <c r="B8439" s="8" t="s">
        <v>8395</v>
      </c>
    </row>
    <row r="8440" spans="1:2" x14ac:dyDescent="0.3">
      <c r="A8440" s="5" t="str">
        <f>HYPERLINK("http://www.eatonpowersource.com/products/configure/pumps/details/02-142828-ar","02-142828-AR")</f>
        <v>02-142828-AR</v>
      </c>
      <c r="B8440" s="6" t="s">
        <v>8396</v>
      </c>
    </row>
    <row r="8441" spans="1:2" x14ac:dyDescent="0.3">
      <c r="A8441" s="7" t="str">
        <f>HYPERLINK("http://www.eatonpowersource.com/products/configure/pumps/details/02-142828-br","02-142828-BR")</f>
        <v>02-142828-BR</v>
      </c>
      <c r="B8441" s="8" t="s">
        <v>8397</v>
      </c>
    </row>
    <row r="8442" spans="1:2" x14ac:dyDescent="0.3">
      <c r="A8442" s="5" t="str">
        <f>HYPERLINK("http://www.eatonpowersource.com/products/configure/pumps/details/02-142828-cl","02-142828-CL")</f>
        <v>02-142828-CL</v>
      </c>
      <c r="B8442" s="6" t="s">
        <v>8398</v>
      </c>
    </row>
    <row r="8443" spans="1:2" x14ac:dyDescent="0.3">
      <c r="A8443" s="7" t="str">
        <f>HYPERLINK("http://www.eatonpowersource.com/products/configure/pumps/details/02-142839-aar","02-142839-AAR")</f>
        <v>02-142839-AAR</v>
      </c>
      <c r="B8443" s="8" t="s">
        <v>8399</v>
      </c>
    </row>
    <row r="8444" spans="1:2" x14ac:dyDescent="0.3">
      <c r="A8444" s="5" t="str">
        <f>HYPERLINK("http://www.eatonpowersource.com/products/configure/pumps/details/02-142839-dar","02-142839-DAR")</f>
        <v>02-142839-DAR</v>
      </c>
      <c r="B8444" s="6" t="s">
        <v>8400</v>
      </c>
    </row>
    <row r="8445" spans="1:2" x14ac:dyDescent="0.3">
      <c r="A8445" s="7" t="str">
        <f>HYPERLINK("http://www.eatonpowersource.com/products/configure/pumps/details/02-142842-ccr","02-142842-CCR")</f>
        <v>02-142842-CCR</v>
      </c>
      <c r="B8445" s="8" t="s">
        <v>8401</v>
      </c>
    </row>
    <row r="8446" spans="1:2" x14ac:dyDescent="0.3">
      <c r="A8446" s="5" t="str">
        <f>HYPERLINK("http://www.eatonpowersource.com/products/configure/pumps/details/02-142844-ccr","02-142844-CCR")</f>
        <v>02-142844-CCR</v>
      </c>
      <c r="B8446" s="6" t="s">
        <v>8402</v>
      </c>
    </row>
    <row r="8447" spans="1:2" x14ac:dyDescent="0.3">
      <c r="A8447" s="7" t="str">
        <f>HYPERLINK("http://www.eatonpowersource.com/products/configure/pumps/details/02-142845-ddr","02-142845-DDR")</f>
        <v>02-142845-DDR</v>
      </c>
      <c r="B8447" s="8" t="s">
        <v>8403</v>
      </c>
    </row>
    <row r="8448" spans="1:2" x14ac:dyDescent="0.3">
      <c r="A8448" s="5" t="str">
        <f>HYPERLINK("http://www.eatonpowersource.com/products/configure/pumps/details/02-142851-aar","02-142851-AAR")</f>
        <v>02-142851-AAR</v>
      </c>
      <c r="B8448" s="6" t="s">
        <v>8404</v>
      </c>
    </row>
    <row r="8449" spans="1:2" x14ac:dyDescent="0.3">
      <c r="A8449" s="7" t="str">
        <f>HYPERLINK("http://www.eatonpowersource.com/products/configure/pumps/details/02-142857-aar","02-142857-AAR")</f>
        <v>02-142857-AAR</v>
      </c>
      <c r="B8449" s="8" t="s">
        <v>8405</v>
      </c>
    </row>
    <row r="8450" spans="1:2" x14ac:dyDescent="0.3">
      <c r="A8450" s="5" t="str">
        <f>HYPERLINK("http://www.eatonpowersource.com/products/configure/pumps/details/02-142858-aar","02-142858-AAR")</f>
        <v>02-142858-AAR</v>
      </c>
      <c r="B8450" s="6" t="s">
        <v>8406</v>
      </c>
    </row>
    <row r="8451" spans="1:2" x14ac:dyDescent="0.3">
      <c r="A8451" s="7" t="str">
        <f>HYPERLINK("http://www.eatonpowersource.com/products/configure/pumps/details/02-142858-ccr","02-142858-CCR")</f>
        <v>02-142858-CCR</v>
      </c>
      <c r="B8451" s="8" t="s">
        <v>8407</v>
      </c>
    </row>
    <row r="8452" spans="1:2" x14ac:dyDescent="0.3">
      <c r="A8452" s="5" t="str">
        <f>HYPERLINK("http://www.eatonpowersource.com/products/configure/pumps/details/02-142918-ar","02-142918-AR")</f>
        <v>02-142918-AR</v>
      </c>
      <c r="B8452" s="6" t="s">
        <v>8408</v>
      </c>
    </row>
    <row r="8453" spans="1:2" x14ac:dyDescent="0.3">
      <c r="A8453" s="7" t="str">
        <f>HYPERLINK("http://www.eatonpowersource.com/products/configure/pumps/details/02-142918-cr","02-142918-CR")</f>
        <v>02-142918-CR</v>
      </c>
      <c r="B8453" s="8" t="s">
        <v>8409</v>
      </c>
    </row>
    <row r="8454" spans="1:2" x14ac:dyDescent="0.3">
      <c r="A8454" s="5" t="str">
        <f>HYPERLINK("http://www.eatonpowersource.com/products/configure/pumps/details/02-142980-dcr","02-142980-DCR")</f>
        <v>02-142980-DCR</v>
      </c>
      <c r="B8454" s="6" t="s">
        <v>8410</v>
      </c>
    </row>
    <row r="8455" spans="1:2" x14ac:dyDescent="0.3">
      <c r="A8455" s="7" t="str">
        <f>HYPERLINK("http://www.eatonpowersource.com/products/configure/pumps/details/02-142998-ar","02-142998-AR")</f>
        <v>02-142998-AR</v>
      </c>
      <c r="B8455" s="8" t="s">
        <v>8411</v>
      </c>
    </row>
    <row r="8456" spans="1:2" x14ac:dyDescent="0.3">
      <c r="A8456" s="5" t="str">
        <f>HYPERLINK("http://www.eatonpowersource.com/products/configure/pumps/details/02-142999-aar","02-142999-AAR")</f>
        <v>02-142999-AAR</v>
      </c>
      <c r="B8456" s="6" t="s">
        <v>8412</v>
      </c>
    </row>
    <row r="8457" spans="1:2" x14ac:dyDescent="0.3">
      <c r="A8457" s="7" t="str">
        <f>HYPERLINK("http://www.eatonpowersource.com/products/configure/pumps/details/02-143134-aar","02-143134-AAR")</f>
        <v>02-143134-AAR</v>
      </c>
      <c r="B8457" s="8" t="s">
        <v>8413</v>
      </c>
    </row>
    <row r="8458" spans="1:2" x14ac:dyDescent="0.3">
      <c r="A8458" s="5" t="str">
        <f>HYPERLINK("http://www.eatonpowersource.com/products/configure/pumps/details/02-143178-ccl","02-143178-CCL")</f>
        <v>02-143178-CCL</v>
      </c>
      <c r="B8458" s="6" t="s">
        <v>8414</v>
      </c>
    </row>
    <row r="8459" spans="1:2" x14ac:dyDescent="0.3">
      <c r="A8459" s="7" t="str">
        <f>HYPERLINK("http://www.eatonpowersource.com/products/configure/pumps/details/02-143182-aar","02-143182-AAR")</f>
        <v>02-143182-AAR</v>
      </c>
      <c r="B8459" s="8" t="s">
        <v>8415</v>
      </c>
    </row>
    <row r="8460" spans="1:2" x14ac:dyDescent="0.3">
      <c r="A8460" s="5" t="str">
        <f>HYPERLINK("http://www.eatonpowersource.com/products/configure/pumps/details/02-143189","02-143189")</f>
        <v>02-143189</v>
      </c>
      <c r="B8460" s="6" t="s">
        <v>8416</v>
      </c>
    </row>
    <row r="8461" spans="1:2" x14ac:dyDescent="0.3">
      <c r="A8461" s="7" t="str">
        <f>HYPERLINK("http://www.eatonpowersource.com/products/configure/pumps/details/02-143243-aar","02-143243-AAR")</f>
        <v>02-143243-AAR</v>
      </c>
      <c r="B8461" s="8" t="s">
        <v>8417</v>
      </c>
    </row>
    <row r="8462" spans="1:2" x14ac:dyDescent="0.3">
      <c r="A8462" s="5" t="str">
        <f>HYPERLINK("http://www.eatonpowersource.com/products/configure/pumps/details/02-143654-aar","02-143654-AAR")</f>
        <v>02-143654-AAR</v>
      </c>
      <c r="B8462" s="6" t="s">
        <v>8418</v>
      </c>
    </row>
    <row r="8463" spans="1:2" x14ac:dyDescent="0.3">
      <c r="A8463" s="7" t="str">
        <f>HYPERLINK("http://www.eatonpowersource.com/products/configure/pumps/details/02-143654-dar","02-143654-DAR")</f>
        <v>02-143654-DAR</v>
      </c>
      <c r="B8463" s="8" t="s">
        <v>8419</v>
      </c>
    </row>
    <row r="8464" spans="1:2" x14ac:dyDescent="0.3">
      <c r="A8464" s="5" t="str">
        <f>HYPERLINK("http://www.eatonpowersource.com/products/configure/pumps/details/02-143663-aar","02-143663-AAR")</f>
        <v>02-143663-AAR</v>
      </c>
      <c r="B8464" s="6" t="s">
        <v>8420</v>
      </c>
    </row>
    <row r="8465" spans="1:2" x14ac:dyDescent="0.3">
      <c r="A8465" s="7" t="str">
        <f>HYPERLINK("http://www.eatonpowersource.com/products/configure/pumps/details/02-143663-ccr","02-143663-CCR")</f>
        <v>02-143663-CCR</v>
      </c>
      <c r="B8465" s="8" t="s">
        <v>8421</v>
      </c>
    </row>
    <row r="8466" spans="1:2" x14ac:dyDescent="0.3">
      <c r="A8466" s="5" t="str">
        <f>HYPERLINK("http://www.eatonpowersource.com/products/configure/pumps/details/02-143674-ccl","02-143674-CCL")</f>
        <v>02-143674-CCL</v>
      </c>
      <c r="B8466" s="6" t="s">
        <v>8422</v>
      </c>
    </row>
    <row r="8467" spans="1:2" x14ac:dyDescent="0.3">
      <c r="A8467" s="7" t="str">
        <f>HYPERLINK("http://www.eatonpowersource.com/products/configure/pumps/details/02-151622-ar","02-151622-AR")</f>
        <v>02-151622-AR</v>
      </c>
      <c r="B8467" s="8" t="s">
        <v>8423</v>
      </c>
    </row>
    <row r="8468" spans="1:2" x14ac:dyDescent="0.3">
      <c r="A8468" s="5" t="str">
        <f>HYPERLINK("http://www.eatonpowersource.com/products/configure/pumps/details/02-151622-cr","02-151622-CR")</f>
        <v>02-151622-CR</v>
      </c>
      <c r="B8468" s="6" t="s">
        <v>8424</v>
      </c>
    </row>
    <row r="8469" spans="1:2" x14ac:dyDescent="0.3">
      <c r="A8469" s="7" t="str">
        <f>HYPERLINK("http://www.eatonpowersource.com/products/configure/pumps/details/02-151737-aar","02-151737-AAR")</f>
        <v>02-151737-AAR</v>
      </c>
      <c r="B8469" s="8" t="s">
        <v>8425</v>
      </c>
    </row>
    <row r="8470" spans="1:2" x14ac:dyDescent="0.3">
      <c r="A8470" s="5" t="str">
        <f>HYPERLINK("http://www.eatonpowersource.com/products/configure/pumps/details/02-152201-aar","02-152201-AAR")</f>
        <v>02-152201-AAR</v>
      </c>
      <c r="B8470" s="6" t="s">
        <v>8426</v>
      </c>
    </row>
    <row r="8471" spans="1:2" x14ac:dyDescent="0.3">
      <c r="A8471" s="7" t="str">
        <f>HYPERLINK("http://www.eatonpowersource.com/products/configure/pumps/details/02-152247-bb","02-152247-BB")</f>
        <v>02-152247-BB</v>
      </c>
      <c r="B8471" s="8" t="s">
        <v>8427</v>
      </c>
    </row>
    <row r="8472" spans="1:2" x14ac:dyDescent="0.3">
      <c r="A8472" s="5" t="str">
        <f>HYPERLINK("http://www.eatonpowersource.com/products/configure/pumps/details/02-152283-aar","02-152283-AAR")</f>
        <v>02-152283-AAR</v>
      </c>
      <c r="B8472" s="6" t="s">
        <v>8428</v>
      </c>
    </row>
    <row r="8473" spans="1:2" x14ac:dyDescent="0.3">
      <c r="A8473" s="7" t="str">
        <f>HYPERLINK("http://www.eatonpowersource.com/products/configure/pumps/details/02-152285-aar","02-152285-AAR")</f>
        <v>02-152285-AAR</v>
      </c>
      <c r="B8473" s="8" t="s">
        <v>8429</v>
      </c>
    </row>
    <row r="8474" spans="1:2" x14ac:dyDescent="0.3">
      <c r="A8474" s="5" t="str">
        <f>HYPERLINK("http://www.eatonpowersource.com/products/configure/pumps/details/02-152442-ccr","02-152442-CCR")</f>
        <v>02-152442-CCR</v>
      </c>
      <c r="B8474" s="6" t="s">
        <v>8430</v>
      </c>
    </row>
    <row r="8475" spans="1:2" x14ac:dyDescent="0.3">
      <c r="A8475" s="7" t="str">
        <f>HYPERLINK("http://www.eatonpowersource.com/products/configure/pumps/details/02-152488-cl","02-152488-CL")</f>
        <v>02-152488-CL</v>
      </c>
      <c r="B8475" s="8" t="s">
        <v>8431</v>
      </c>
    </row>
    <row r="8476" spans="1:2" x14ac:dyDescent="0.3">
      <c r="A8476" s="5" t="str">
        <f>HYPERLINK("http://www.eatonpowersource.com/products/configure/pumps/details/02-159752-aar","02-159752-AAR")</f>
        <v>02-159752-AAR</v>
      </c>
      <c r="B8476" s="6" t="s">
        <v>8432</v>
      </c>
    </row>
    <row r="8477" spans="1:2" x14ac:dyDescent="0.3">
      <c r="A8477" s="7" t="str">
        <f>HYPERLINK("http://www.eatonpowersource.com/products/configure/pumps/details/02-159983-aar","02-159983-AAR")</f>
        <v>02-159983-AAR</v>
      </c>
      <c r="B8477" s="8" t="s">
        <v>8433</v>
      </c>
    </row>
    <row r="8478" spans="1:2" x14ac:dyDescent="0.3">
      <c r="A8478" s="5" t="str">
        <f>HYPERLINK("http://www.eatonpowersource.com/products/configure/pumps/details/02-159983-bar","02-159983-BAR")</f>
        <v>02-159983-BAR</v>
      </c>
      <c r="B8478" s="6" t="s">
        <v>8434</v>
      </c>
    </row>
    <row r="8479" spans="1:2" x14ac:dyDescent="0.3">
      <c r="A8479" s="7" t="str">
        <f>HYPERLINK("http://www.eatonpowersource.com/products/configure/pumps/details/02-159983-car","02-159983-CAR")</f>
        <v>02-159983-CAR</v>
      </c>
      <c r="B8479" s="8" t="s">
        <v>8435</v>
      </c>
    </row>
    <row r="8480" spans="1:2" x14ac:dyDescent="0.3">
      <c r="A8480" s="5" t="str">
        <f>HYPERLINK("http://www.eatonpowersource.com/products/configure/pumps/details/02-160465-aar","02-160465-AAR")</f>
        <v>02-160465-AAR</v>
      </c>
      <c r="B8480" s="6" t="s">
        <v>8436</v>
      </c>
    </row>
    <row r="8481" spans="1:2" x14ac:dyDescent="0.3">
      <c r="A8481" s="7" t="str">
        <f>HYPERLINK("http://www.eatonpowersource.com/products/configure/pumps/details/02-160504-ccr","02-160504-CCR")</f>
        <v>02-160504-CCR</v>
      </c>
      <c r="B8481" s="8" t="s">
        <v>8437</v>
      </c>
    </row>
    <row r="8482" spans="1:2" x14ac:dyDescent="0.3">
      <c r="A8482" s="5" t="str">
        <f>HYPERLINK("http://www.eatonpowersource.com/products/configure/pumps/details/02-305698-aar","02-305698-AAR")</f>
        <v>02-305698-AAR</v>
      </c>
      <c r="B8482" s="6" t="s">
        <v>8438</v>
      </c>
    </row>
    <row r="8483" spans="1:2" x14ac:dyDescent="0.3">
      <c r="A8483" s="7" t="str">
        <f>HYPERLINK("http://www.eatonpowersource.com/products/configure/pumps/details/02-305698-ccr","02-305698-CCR")</f>
        <v>02-305698-CCR</v>
      </c>
      <c r="B8483" s="8" t="s">
        <v>8439</v>
      </c>
    </row>
    <row r="8484" spans="1:2" x14ac:dyDescent="0.3">
      <c r="A8484" s="5" t="str">
        <f>HYPERLINK("http://www.eatonpowersource.com/products/configure/pumps/details/02-305870-aar","02-305870-AAR")</f>
        <v>02-305870-AAR</v>
      </c>
      <c r="B8484" s="6" t="s">
        <v>8440</v>
      </c>
    </row>
    <row r="8485" spans="1:2" x14ac:dyDescent="0.3">
      <c r="A8485" s="7" t="str">
        <f>HYPERLINK("http://www.eatonpowersource.com/products/configure/pumps/details/02-305870-ccr","02-305870-CCR")</f>
        <v>02-305870-CCR</v>
      </c>
      <c r="B8485" s="8" t="s">
        <v>8441</v>
      </c>
    </row>
    <row r="8486" spans="1:2" x14ac:dyDescent="0.3">
      <c r="A8486" s="5" t="str">
        <f>HYPERLINK("http://www.eatonpowersource.com/products/configure/pumps/details/02-305875-aar","02-305875-AAR")</f>
        <v>02-305875-AAR</v>
      </c>
      <c r="B8486" s="6" t="s">
        <v>8442</v>
      </c>
    </row>
    <row r="8487" spans="1:2" x14ac:dyDescent="0.3">
      <c r="A8487" s="7" t="str">
        <f>HYPERLINK("http://www.eatonpowersource.com/products/configure/pumps/details/02-305948-aa","02-305948-AA")</f>
        <v>02-305948-AA</v>
      </c>
      <c r="B8487" s="8" t="s">
        <v>8443</v>
      </c>
    </row>
    <row r="8488" spans="1:2" x14ac:dyDescent="0.3">
      <c r="A8488" s="5" t="str">
        <f>HYPERLINK("http://www.eatonpowersource.com/products/configure/pumps/details/02-305970-ar","02-305970-AR")</f>
        <v>02-305970-AR</v>
      </c>
      <c r="B8488" s="6" t="s">
        <v>8444</v>
      </c>
    </row>
    <row r="8489" spans="1:2" x14ac:dyDescent="0.3">
      <c r="A8489" s="7" t="str">
        <f>HYPERLINK("http://www.eatonpowersource.com/products/configure/pumps/details/02-305970-cr","02-305970-CR")</f>
        <v>02-305970-CR</v>
      </c>
      <c r="B8489" s="8" t="s">
        <v>8445</v>
      </c>
    </row>
    <row r="8490" spans="1:2" x14ac:dyDescent="0.3">
      <c r="A8490" s="5" t="str">
        <f>HYPERLINK("http://www.eatonpowersource.com/products/configure/pumps/details/02-314910-ar","02-314910-AR")</f>
        <v>02-314910-AR</v>
      </c>
      <c r="B8490" s="6" t="s">
        <v>8446</v>
      </c>
    </row>
    <row r="8491" spans="1:2" x14ac:dyDescent="0.3">
      <c r="A8491" s="7" t="str">
        <f>HYPERLINK("http://www.eatonpowersource.com/products/configure/pumps/details/02-315091-aar","02-315091-AAR")</f>
        <v>02-315091-AAR</v>
      </c>
      <c r="B8491" s="8" t="s">
        <v>8447</v>
      </c>
    </row>
    <row r="8492" spans="1:2" x14ac:dyDescent="0.3">
      <c r="A8492" s="5" t="str">
        <f>HYPERLINK("http://www.eatonpowersource.com/products/configure/pumps/details/02-315091-ccr","02-315091-CCR")</f>
        <v>02-315091-CCR</v>
      </c>
      <c r="B8492" s="6" t="s">
        <v>8448</v>
      </c>
    </row>
    <row r="8493" spans="1:2" x14ac:dyDescent="0.3">
      <c r="A8493" s="7" t="str">
        <f>HYPERLINK("http://www.eatonpowersource.com/products/configure/pumps/details/02-315194-b","02-315194-B")</f>
        <v>02-315194-B</v>
      </c>
      <c r="B8493" s="8" t="s">
        <v>8449</v>
      </c>
    </row>
    <row r="8494" spans="1:2" x14ac:dyDescent="0.3">
      <c r="A8494" s="5" t="str">
        <f>HYPERLINK("http://www.eatonpowersource.com/products/configure/pumps/details/02-318662-aar","02-318662-AAR")</f>
        <v>02-318662-AAR</v>
      </c>
      <c r="B8494" s="6" t="s">
        <v>8450</v>
      </c>
    </row>
    <row r="8495" spans="1:2" x14ac:dyDescent="0.3">
      <c r="A8495" s="7" t="str">
        <f>HYPERLINK("http://www.eatonpowersource.com/products/configure/pumps/details/02-318901-ar","02-318901-AR")</f>
        <v>02-318901-AR</v>
      </c>
      <c r="B8495" s="8" t="s">
        <v>8451</v>
      </c>
    </row>
    <row r="8496" spans="1:2" x14ac:dyDescent="0.3">
      <c r="A8496" s="5" t="str">
        <f>HYPERLINK("http://www.eatonpowersource.com/products/configure/pumps/details/02-318901-cr","02-318901-CR")</f>
        <v>02-318901-CR</v>
      </c>
      <c r="B8496" s="6" t="s">
        <v>8452</v>
      </c>
    </row>
    <row r="8497" spans="1:2" x14ac:dyDescent="0.3">
      <c r="A8497" s="7" t="str">
        <f>HYPERLINK("http://www.eatonpowersource.com/products/configure/pumps/details/02-322508-c","02-322508-C")</f>
        <v>02-322508-C</v>
      </c>
      <c r="B8497" s="8" t="s">
        <v>8453</v>
      </c>
    </row>
    <row r="8498" spans="1:2" x14ac:dyDescent="0.3">
      <c r="A8498" s="5" t="str">
        <f>HYPERLINK("http://www.eatonpowersource.com/products/configure/pumps/details/02-322522-ar","02-322522-AR")</f>
        <v>02-322522-AR</v>
      </c>
      <c r="B8498" s="6" t="s">
        <v>8454</v>
      </c>
    </row>
    <row r="8499" spans="1:2" x14ac:dyDescent="0.3">
      <c r="A8499" s="7" t="str">
        <f>HYPERLINK("http://www.eatonpowersource.com/products/configure/pumps/details/02-322895-ccr","02-322895-CCR")</f>
        <v>02-322895-CCR</v>
      </c>
      <c r="B8499" s="8" t="s">
        <v>8455</v>
      </c>
    </row>
    <row r="8500" spans="1:2" x14ac:dyDescent="0.3">
      <c r="A8500" s="5" t="str">
        <f>HYPERLINK("http://www.eatonpowersource.com/products/configure/pumps/details/02-322902-aar","02-322902-AAR")</f>
        <v>02-322902-AAR</v>
      </c>
      <c r="B8500" s="6" t="s">
        <v>8456</v>
      </c>
    </row>
    <row r="8501" spans="1:2" x14ac:dyDescent="0.3">
      <c r="A8501" s="7" t="str">
        <f>HYPERLINK("http://www.eatonpowersource.com/products/configure/pumps/details/02-322902-adr","02-322902-ADR")</f>
        <v>02-322902-ADR</v>
      </c>
      <c r="B8501" s="8" t="s">
        <v>8457</v>
      </c>
    </row>
    <row r="8502" spans="1:2" x14ac:dyDescent="0.3">
      <c r="A8502" s="5" t="str">
        <f>HYPERLINK("http://www.eatonpowersource.com/products/configure/pumps/details/02-328623-aar","02-328623-AAR")</f>
        <v>02-328623-AAR</v>
      </c>
      <c r="B8502" s="6" t="s">
        <v>8458</v>
      </c>
    </row>
    <row r="8503" spans="1:2" x14ac:dyDescent="0.3">
      <c r="A8503" s="7" t="str">
        <f>HYPERLINK("http://www.eatonpowersource.com/products/configure/pumps/details/02-328688-aar","02-328688-AAR")</f>
        <v>02-328688-AAR</v>
      </c>
      <c r="B8503" s="8" t="s">
        <v>8459</v>
      </c>
    </row>
    <row r="8504" spans="1:2" x14ac:dyDescent="0.3">
      <c r="A8504" s="5" t="str">
        <f>HYPERLINK("http://www.eatonpowersource.com/products/configure/pumps/details/02-334044-aar","02-334044-AAR")</f>
        <v>02-334044-AAR</v>
      </c>
      <c r="B8504" s="6" t="s">
        <v>8460</v>
      </c>
    </row>
    <row r="8505" spans="1:2" x14ac:dyDescent="0.3">
      <c r="A8505" s="7" t="str">
        <f>HYPERLINK("http://www.eatonpowersource.com/products/configure/pumps/details/02-335402-ar","02-335402-AR")</f>
        <v>02-335402-AR</v>
      </c>
      <c r="B8505" s="8" t="s">
        <v>8461</v>
      </c>
    </row>
    <row r="8506" spans="1:2" x14ac:dyDescent="0.3">
      <c r="A8506" s="5" t="str">
        <f>HYPERLINK("http://www.eatonpowersource.com/products/configure/pumps/details/02-341406-aar","02-341406-AAR")</f>
        <v>02-341406-AAR</v>
      </c>
      <c r="B8506" s="6" t="s">
        <v>8462</v>
      </c>
    </row>
    <row r="8507" spans="1:2" x14ac:dyDescent="0.3">
      <c r="A8507" s="7" t="str">
        <f>HYPERLINK("http://www.eatonpowersource.com/products/configure/pumps/details/02-341768-d","02-341768-D")</f>
        <v>02-341768-D</v>
      </c>
      <c r="B8507" s="8" t="s">
        <v>8463</v>
      </c>
    </row>
    <row r="8508" spans="1:2" x14ac:dyDescent="0.3">
      <c r="A8508" s="5" t="str">
        <f>HYPERLINK("http://www.eatonpowersource.com/products/configure/pumps/details/02-346045-ar","02-346045-AR")</f>
        <v>02-346045-AR</v>
      </c>
      <c r="B8508" s="6" t="s">
        <v>8464</v>
      </c>
    </row>
    <row r="8509" spans="1:2" x14ac:dyDescent="0.3">
      <c r="A8509" s="7" t="str">
        <f>HYPERLINK("http://www.eatonpowersource.com/products/configure/pumps/details/02-346927-aa","02-346927-AA")</f>
        <v>02-346927-AA</v>
      </c>
      <c r="B8509" s="8" t="s">
        <v>8465</v>
      </c>
    </row>
    <row r="8510" spans="1:2" x14ac:dyDescent="0.3">
      <c r="A8510" s="5" t="str">
        <f>HYPERLINK("http://www.eatonpowersource.com/products/configure/pumps/details/02-347571-aa","02-347571-AA")</f>
        <v>02-347571-AA</v>
      </c>
      <c r="B8510" s="6" t="s">
        <v>8466</v>
      </c>
    </row>
    <row r="8511" spans="1:2" x14ac:dyDescent="0.3">
      <c r="A8511" s="7" t="str">
        <f>HYPERLINK("http://www.eatonpowersource.com/products/configure/pumps/details/02-347884-aar","02-347884-AAR")</f>
        <v>02-347884-AAR</v>
      </c>
      <c r="B8511" s="8" t="s">
        <v>8467</v>
      </c>
    </row>
    <row r="8512" spans="1:2" x14ac:dyDescent="0.3">
      <c r="A8512" s="5" t="str">
        <f>HYPERLINK("http://www.eatonpowersource.com/products/configure/pumps/details/02-348365-aa","02-348365-AA")</f>
        <v>02-348365-AA</v>
      </c>
      <c r="B8512" s="6" t="s">
        <v>8468</v>
      </c>
    </row>
    <row r="8513" spans="1:2" x14ac:dyDescent="0.3">
      <c r="A8513" s="7" t="str">
        <f>HYPERLINK("http://www.eatonpowersource.com/products/configure/pumps/details/416450-a","416450-A")</f>
        <v>416450-A</v>
      </c>
      <c r="B8513" s="8" t="s">
        <v>8469</v>
      </c>
    </row>
    <row r="8514" spans="1:2" x14ac:dyDescent="0.3">
      <c r="A8514" s="5" t="str">
        <f>HYPERLINK("http://www.eatonpowersource.com/products/configure/pumps/details/416457-a","416457-A")</f>
        <v>416457-A</v>
      </c>
      <c r="B8514" s="6" t="s">
        <v>8470</v>
      </c>
    </row>
    <row r="8515" spans="1:2" x14ac:dyDescent="0.3">
      <c r="A8515" s="7" t="str">
        <f>HYPERLINK("http://www.eatonpowersource.com/products/configure/pumps/details/416457-al","416457-AL")</f>
        <v>416457-AL</v>
      </c>
      <c r="B8515" s="8" t="s">
        <v>8471</v>
      </c>
    </row>
    <row r="8516" spans="1:2" x14ac:dyDescent="0.3">
      <c r="A8516" s="5" t="str">
        <f>HYPERLINK("http://www.eatonpowersource.com/products/configure/pumps/details/416457-c","416457-C")</f>
        <v>416457-C</v>
      </c>
      <c r="B8516" s="6" t="s">
        <v>8472</v>
      </c>
    </row>
    <row r="8517" spans="1:2" x14ac:dyDescent="0.3">
      <c r="A8517" s="7" t="str">
        <f>HYPERLINK("http://www.eatonpowersource.com/products/configure/pumps/details/416458-c","416458-C")</f>
        <v>416458-C</v>
      </c>
      <c r="B8517" s="8" t="s">
        <v>8473</v>
      </c>
    </row>
    <row r="8518" spans="1:2" x14ac:dyDescent="0.3">
      <c r="A8518" s="5" t="str">
        <f>HYPERLINK("http://www.eatonpowersource.com/products/configure/pumps/details/417484-a","417484-A")</f>
        <v>417484-A</v>
      </c>
      <c r="B8518" s="6" t="s">
        <v>8474</v>
      </c>
    </row>
    <row r="8519" spans="1:2" x14ac:dyDescent="0.3">
      <c r="A8519" s="7" t="str">
        <f>HYPERLINK("http://www.eatonpowersource.com/products/configure/pumps/details/417485-a","417485-A")</f>
        <v>417485-A</v>
      </c>
      <c r="B8519" s="8" t="s">
        <v>8475</v>
      </c>
    </row>
    <row r="8520" spans="1:2" x14ac:dyDescent="0.3">
      <c r="A8520" s="5" t="str">
        <f>HYPERLINK("http://www.eatonpowersource.com/products/configure/pumps/details/417486-a","417486-A")</f>
        <v>417486-A</v>
      </c>
      <c r="B8520" s="6" t="s">
        <v>8476</v>
      </c>
    </row>
    <row r="8521" spans="1:2" x14ac:dyDescent="0.3">
      <c r="A8521" s="7" t="str">
        <f>HYPERLINK("http://www.eatonpowersource.com/products/configure/pumps/details/417992-a","417992-A")</f>
        <v>417992-A</v>
      </c>
      <c r="B8521" s="8" t="s">
        <v>8477</v>
      </c>
    </row>
    <row r="8522" spans="1:2" x14ac:dyDescent="0.3">
      <c r="A8522" s="5" t="str">
        <f>HYPERLINK("http://www.eatonpowersource.com/products/configure/pumps/details/417992-al","417992-AL")</f>
        <v>417992-AL</v>
      </c>
      <c r="B8522" s="6" t="s">
        <v>8478</v>
      </c>
    </row>
    <row r="8523" spans="1:2" x14ac:dyDescent="0.3">
      <c r="A8523" s="7" t="str">
        <f>HYPERLINK("http://www.eatonpowersource.com/products/configure/pumps/details/417992-c","417992-C")</f>
        <v>417992-C</v>
      </c>
      <c r="B8523" s="8" t="s">
        <v>8479</v>
      </c>
    </row>
    <row r="8524" spans="1:2" x14ac:dyDescent="0.3">
      <c r="A8524" s="5" t="str">
        <f>HYPERLINK("http://www.eatonpowersource.com/products/configure/pumps/details/417992-cl","417992-CL")</f>
        <v>417992-CL</v>
      </c>
      <c r="B8524" s="6" t="s">
        <v>8480</v>
      </c>
    </row>
    <row r="8525" spans="1:2" x14ac:dyDescent="0.3">
      <c r="A8525" s="7" t="str">
        <f>HYPERLINK("http://www.eatonpowersource.com/products/configure/pumps/details/417992-dl","417992-DL")</f>
        <v>417992-DL</v>
      </c>
      <c r="B8525" s="8" t="s">
        <v>8481</v>
      </c>
    </row>
    <row r="8526" spans="1:2" x14ac:dyDescent="0.3">
      <c r="A8526" s="5" t="str">
        <f>HYPERLINK("http://www.eatonpowersource.com/products/configure/pumps/details/417993-a","417993-A")</f>
        <v>417993-A</v>
      </c>
      <c r="B8526" s="6" t="s">
        <v>8482</v>
      </c>
    </row>
    <row r="8527" spans="1:2" x14ac:dyDescent="0.3">
      <c r="A8527" s="7" t="str">
        <f>HYPERLINK("http://www.eatonpowersource.com/products/configure/pumps/details/417993-c","417993-C")</f>
        <v>417993-C</v>
      </c>
      <c r="B8527" s="8" t="s">
        <v>8483</v>
      </c>
    </row>
    <row r="8528" spans="1:2" x14ac:dyDescent="0.3">
      <c r="A8528" s="5" t="str">
        <f>HYPERLINK("http://www.eatonpowersource.com/products/configure/pumps/details/417994-a","417994-A")</f>
        <v>417994-A</v>
      </c>
      <c r="B8528" s="6" t="s">
        <v>8484</v>
      </c>
    </row>
    <row r="8529" spans="1:2" x14ac:dyDescent="0.3">
      <c r="A8529" s="7" t="str">
        <f>HYPERLINK("http://www.eatonpowersource.com/products/configure/pumps/details/417994-al","417994-AL")</f>
        <v>417994-AL</v>
      </c>
      <c r="B8529" s="8" t="s">
        <v>8485</v>
      </c>
    </row>
    <row r="8530" spans="1:2" x14ac:dyDescent="0.3">
      <c r="A8530" s="5" t="str">
        <f>HYPERLINK("http://www.eatonpowersource.com/products/configure/pumps/details/417994-c","417994-C")</f>
        <v>417994-C</v>
      </c>
      <c r="B8530" s="6" t="s">
        <v>8486</v>
      </c>
    </row>
    <row r="8531" spans="1:2" x14ac:dyDescent="0.3">
      <c r="A8531" s="7" t="str">
        <f>HYPERLINK("http://www.eatonpowersource.com/products/configure/pumps/details/418616-a","418616-A")</f>
        <v>418616-A</v>
      </c>
      <c r="B8531" s="8" t="s">
        <v>8487</v>
      </c>
    </row>
    <row r="8532" spans="1:2" x14ac:dyDescent="0.3">
      <c r="A8532" s="5" t="str">
        <f>HYPERLINK("http://www.eatonpowersource.com/products/configure/pumps/details/419330-c","419330-C")</f>
        <v>419330-C</v>
      </c>
      <c r="B8532" s="6" t="s">
        <v>8488</v>
      </c>
    </row>
    <row r="8533" spans="1:2" x14ac:dyDescent="0.3">
      <c r="A8533" s="7" t="str">
        <f>HYPERLINK("http://www.eatonpowersource.com/products/configure/pumps/details/419930-c","419930-C")</f>
        <v>419930-C</v>
      </c>
      <c r="B8533" s="8" t="s">
        <v>8489</v>
      </c>
    </row>
    <row r="8534" spans="1:2" x14ac:dyDescent="0.3">
      <c r="A8534" s="5" t="str">
        <f>HYPERLINK("http://www.eatonpowersource.com/products/configure/pumps/details/419931-a","419931-A")</f>
        <v>419931-A</v>
      </c>
      <c r="B8534" s="6" t="s">
        <v>8490</v>
      </c>
    </row>
    <row r="8535" spans="1:2" x14ac:dyDescent="0.3">
      <c r="A8535" s="7" t="str">
        <f>HYPERLINK("http://www.eatonpowersource.com/products/configure/pumps/details/420617-c","420617-C")</f>
        <v>420617-C</v>
      </c>
      <c r="B8535" s="8" t="s">
        <v>8491</v>
      </c>
    </row>
    <row r="8536" spans="1:2" x14ac:dyDescent="0.3">
      <c r="A8536" s="5" t="str">
        <f>HYPERLINK("http://www.eatonpowersource.com/products/configure/pumps/details/420618-c","420618-C")</f>
        <v>420618-C</v>
      </c>
      <c r="B8536" s="6" t="s">
        <v>8492</v>
      </c>
    </row>
    <row r="8537" spans="1:2" x14ac:dyDescent="0.3">
      <c r="A8537" s="7" t="str">
        <f>HYPERLINK("http://www.eatonpowersource.com/products/configure/pumps/details/421472-b","421472-B")</f>
        <v>421472-B</v>
      </c>
      <c r="B8537" s="8" t="s">
        <v>8493</v>
      </c>
    </row>
    <row r="8538" spans="1:2" x14ac:dyDescent="0.3">
      <c r="A8538" s="5" t="str">
        <f>HYPERLINK("http://www.eatonpowersource.com/products/configure/pumps/details/421472-c","421472-C")</f>
        <v>421472-C</v>
      </c>
      <c r="B8538" s="6" t="s">
        <v>8494</v>
      </c>
    </row>
    <row r="8539" spans="1:2" x14ac:dyDescent="0.3">
      <c r="A8539" s="7" t="str">
        <f>HYPERLINK("http://www.eatonpowersource.com/products/configure/pumps/details/421472-cl","421472-CL")</f>
        <v>421472-CL</v>
      </c>
      <c r="B8539" s="8" t="s">
        <v>8495</v>
      </c>
    </row>
    <row r="8540" spans="1:2" x14ac:dyDescent="0.3">
      <c r="A8540" s="5" t="str">
        <f>HYPERLINK("http://www.eatonpowersource.com/products/configure/pumps/details/421475-a","421475-A")</f>
        <v>421475-A</v>
      </c>
      <c r="B8540" s="6" t="s">
        <v>8496</v>
      </c>
    </row>
    <row r="8541" spans="1:2" x14ac:dyDescent="0.3">
      <c r="A8541" s="7" t="str">
        <f>HYPERLINK("http://www.eatonpowersource.com/products/configure/pumps/details/421475-c","421475-C")</f>
        <v>421475-C</v>
      </c>
      <c r="B8541" s="8" t="s">
        <v>8497</v>
      </c>
    </row>
    <row r="8542" spans="1:2" x14ac:dyDescent="0.3">
      <c r="A8542" s="5" t="str">
        <f>HYPERLINK("http://www.eatonpowersource.com/products/configure/pumps/details/421475-cl","421475-CL")</f>
        <v>421475-CL</v>
      </c>
      <c r="B8542" s="6" t="s">
        <v>8498</v>
      </c>
    </row>
    <row r="8543" spans="1:2" x14ac:dyDescent="0.3">
      <c r="A8543" s="7" t="str">
        <f>HYPERLINK("http://www.eatonpowersource.com/products/configure/pumps/details/421477-a","421477-A")</f>
        <v>421477-A</v>
      </c>
      <c r="B8543" s="8" t="s">
        <v>8499</v>
      </c>
    </row>
    <row r="8544" spans="1:2" x14ac:dyDescent="0.3">
      <c r="A8544" s="5" t="str">
        <f>HYPERLINK("http://www.eatonpowersource.com/products/configure/pumps/details/421477-b","421477-B")</f>
        <v>421477-B</v>
      </c>
      <c r="B8544" s="6" t="s">
        <v>8500</v>
      </c>
    </row>
    <row r="8545" spans="1:2" x14ac:dyDescent="0.3">
      <c r="A8545" s="7" t="str">
        <f>HYPERLINK("http://www.eatonpowersource.com/products/configure/pumps/details/421477-bl","421477-BL")</f>
        <v>421477-BL</v>
      </c>
      <c r="B8545" s="8" t="s">
        <v>8501</v>
      </c>
    </row>
    <row r="8546" spans="1:2" x14ac:dyDescent="0.3">
      <c r="A8546" s="5" t="str">
        <f>HYPERLINK("http://www.eatonpowersource.com/products/configure/pumps/details/421477-c","421477-C")</f>
        <v>421477-C</v>
      </c>
      <c r="B8546" s="6" t="s">
        <v>8502</v>
      </c>
    </row>
    <row r="8547" spans="1:2" x14ac:dyDescent="0.3">
      <c r="A8547" s="7" t="str">
        <f>HYPERLINK("http://www.eatonpowersource.com/products/configure/pumps/details/421486-c","421486-C")</f>
        <v>421486-C</v>
      </c>
      <c r="B8547" s="8" t="s">
        <v>8503</v>
      </c>
    </row>
    <row r="8548" spans="1:2" x14ac:dyDescent="0.3">
      <c r="A8548" s="5" t="str">
        <f>HYPERLINK("http://www.eatonpowersource.com/products/configure/pumps/details/421486-cl","421486-CL")</f>
        <v>421486-CL</v>
      </c>
      <c r="B8548" s="6" t="s">
        <v>8504</v>
      </c>
    </row>
    <row r="8549" spans="1:2" x14ac:dyDescent="0.3">
      <c r="A8549" s="7" t="str">
        <f>HYPERLINK("http://www.eatonpowersource.com/products/configure/pumps/details/421490-a","421490-A")</f>
        <v>421490-A</v>
      </c>
      <c r="B8549" s="8" t="s">
        <v>8505</v>
      </c>
    </row>
    <row r="8550" spans="1:2" x14ac:dyDescent="0.3">
      <c r="A8550" s="5" t="str">
        <f>HYPERLINK("http://www.eatonpowersource.com/products/configure/pumps/details/421490-c","421490-C")</f>
        <v>421490-C</v>
      </c>
      <c r="B8550" s="6" t="s">
        <v>8506</v>
      </c>
    </row>
    <row r="8551" spans="1:2" x14ac:dyDescent="0.3">
      <c r="A8551" s="7" t="str">
        <f>HYPERLINK("http://www.eatonpowersource.com/products/configure/pumps/details/421526-a","421526-A")</f>
        <v>421526-A</v>
      </c>
      <c r="B8551" s="8" t="s">
        <v>8507</v>
      </c>
    </row>
    <row r="8552" spans="1:2" x14ac:dyDescent="0.3">
      <c r="A8552" s="5" t="str">
        <f>HYPERLINK("http://www.eatonpowersource.com/products/configure/pumps/details/421526-c","421526-C")</f>
        <v>421526-C</v>
      </c>
      <c r="B8552" s="6" t="s">
        <v>8508</v>
      </c>
    </row>
    <row r="8553" spans="1:2" x14ac:dyDescent="0.3">
      <c r="A8553" s="7" t="str">
        <f>HYPERLINK("http://www.eatonpowersource.com/products/configure/pumps/details/421527-c","421527-C")</f>
        <v>421527-C</v>
      </c>
      <c r="B8553" s="8" t="s">
        <v>8509</v>
      </c>
    </row>
    <row r="8554" spans="1:2" x14ac:dyDescent="0.3">
      <c r="A8554" s="5" t="str">
        <f>HYPERLINK("http://www.eatonpowersource.com/products/configure/pumps/details/421528-al","421528-AL")</f>
        <v>421528-AL</v>
      </c>
      <c r="B8554" s="6" t="s">
        <v>8510</v>
      </c>
    </row>
    <row r="8555" spans="1:2" x14ac:dyDescent="0.3">
      <c r="A8555" s="7" t="str">
        <f>HYPERLINK("http://www.eatonpowersource.com/products/configure/pumps/details/421528-c","421528-C")</f>
        <v>421528-C</v>
      </c>
      <c r="B8555" s="8" t="s">
        <v>8511</v>
      </c>
    </row>
    <row r="8556" spans="1:2" x14ac:dyDescent="0.3">
      <c r="A8556" s="5" t="str">
        <f>HYPERLINK("http://www.eatonpowersource.com/products/configure/pumps/details/421529-c","421529-C")</f>
        <v>421529-C</v>
      </c>
      <c r="B8556" s="6" t="s">
        <v>8512</v>
      </c>
    </row>
    <row r="8557" spans="1:2" x14ac:dyDescent="0.3">
      <c r="A8557" s="7" t="str">
        <f>HYPERLINK("http://www.eatonpowersource.com/products/configure/pumps/details/421555-a","421555-A")</f>
        <v>421555-A</v>
      </c>
      <c r="B8557" s="8" t="s">
        <v>8513</v>
      </c>
    </row>
    <row r="8558" spans="1:2" x14ac:dyDescent="0.3">
      <c r="A8558" s="5" t="str">
        <f>HYPERLINK("http://www.eatonpowersource.com/products/configure/pumps/details/421555-c","421555-C")</f>
        <v>421555-C</v>
      </c>
      <c r="B8558" s="6" t="s">
        <v>8514</v>
      </c>
    </row>
    <row r="8559" spans="1:2" x14ac:dyDescent="0.3">
      <c r="A8559" s="7" t="str">
        <f>HYPERLINK("http://www.eatonpowersource.com/products/configure/pumps/details/421593-aa","421593-AA")</f>
        <v>421593-AA</v>
      </c>
      <c r="B8559" s="8" t="s">
        <v>8515</v>
      </c>
    </row>
    <row r="8560" spans="1:2" x14ac:dyDescent="0.3">
      <c r="A8560" s="5" t="str">
        <f>HYPERLINK("http://www.eatonpowersource.com/products/configure/pumps/details/421593-cc","421593-CC")</f>
        <v>421593-CC</v>
      </c>
      <c r="B8560" s="6" t="s">
        <v>8516</v>
      </c>
    </row>
    <row r="8561" spans="1:2" x14ac:dyDescent="0.3">
      <c r="A8561" s="7" t="str">
        <f>HYPERLINK("http://www.eatonpowersource.com/products/configure/pumps/details/421594-bcl","421594-BCL")</f>
        <v>421594-BCL</v>
      </c>
      <c r="B8561" s="8" t="s">
        <v>8517</v>
      </c>
    </row>
    <row r="8562" spans="1:2" x14ac:dyDescent="0.3">
      <c r="A8562" s="5" t="str">
        <f>HYPERLINK("http://www.eatonpowersource.com/products/configure/pumps/details/421595-cc","421595-CC")</f>
        <v>421595-CC</v>
      </c>
      <c r="B8562" s="6" t="s">
        <v>8518</v>
      </c>
    </row>
    <row r="8563" spans="1:2" x14ac:dyDescent="0.3">
      <c r="A8563" s="7" t="str">
        <f>HYPERLINK("http://www.eatonpowersource.com/products/configure/pumps/details/421596-bb","421596-BB")</f>
        <v>421596-BB</v>
      </c>
      <c r="B8563" s="8" t="s">
        <v>8519</v>
      </c>
    </row>
    <row r="8564" spans="1:2" x14ac:dyDescent="0.3">
      <c r="A8564" s="5" t="str">
        <f>HYPERLINK("http://www.eatonpowersource.com/products/configure/pumps/details/421598-aa","421598-AA")</f>
        <v>421598-AA</v>
      </c>
      <c r="B8564" s="6" t="s">
        <v>8520</v>
      </c>
    </row>
    <row r="8565" spans="1:2" x14ac:dyDescent="0.3">
      <c r="A8565" s="7" t="str">
        <f>HYPERLINK("http://www.eatonpowersource.com/products/configure/pumps/details/421600-cc","421600-CC")</f>
        <v>421600-CC</v>
      </c>
      <c r="B8565" s="8" t="s">
        <v>8521</v>
      </c>
    </row>
    <row r="8566" spans="1:2" x14ac:dyDescent="0.3">
      <c r="A8566" s="5" t="str">
        <f>HYPERLINK("http://www.eatonpowersource.com/products/configure/pumps/details/421601-cc","421601-CC")</f>
        <v>421601-CC</v>
      </c>
      <c r="B8566" s="6" t="s">
        <v>8522</v>
      </c>
    </row>
    <row r="8567" spans="1:2" x14ac:dyDescent="0.3">
      <c r="A8567" s="7" t="str">
        <f>HYPERLINK("http://www.eatonpowersource.com/products/configure/pumps/details/421601-dcl","421601-DCL")</f>
        <v>421601-DCL</v>
      </c>
      <c r="B8567" s="8" t="s">
        <v>8523</v>
      </c>
    </row>
    <row r="8568" spans="1:2" x14ac:dyDescent="0.3">
      <c r="A8568" s="5" t="str">
        <f>HYPERLINK("http://www.eatonpowersource.com/products/configure/pumps/details/421602-aa","421602-AA")</f>
        <v>421602-AA</v>
      </c>
      <c r="B8568" s="6" t="s">
        <v>8524</v>
      </c>
    </row>
    <row r="8569" spans="1:2" x14ac:dyDescent="0.3">
      <c r="A8569" s="7" t="str">
        <f>HYPERLINK("http://www.eatonpowersource.com/products/configure/pumps/details/421602-cc","421602-CC")</f>
        <v>421602-CC</v>
      </c>
      <c r="B8569" s="8" t="s">
        <v>8525</v>
      </c>
    </row>
    <row r="8570" spans="1:2" x14ac:dyDescent="0.3">
      <c r="A8570" s="5" t="str">
        <f>HYPERLINK("http://www.eatonpowersource.com/products/configure/pumps/details/421604-cc","421604-CC")</f>
        <v>421604-CC</v>
      </c>
      <c r="B8570" s="6" t="s">
        <v>8526</v>
      </c>
    </row>
    <row r="8571" spans="1:2" x14ac:dyDescent="0.3">
      <c r="A8571" s="7" t="str">
        <f>HYPERLINK("http://www.eatonpowersource.com/products/configure/pumps/details/421613-aa","421613-AA")</f>
        <v>421613-AA</v>
      </c>
      <c r="B8571" s="8" t="s">
        <v>8527</v>
      </c>
    </row>
    <row r="8572" spans="1:2" x14ac:dyDescent="0.3">
      <c r="A8572" s="5" t="str">
        <f>HYPERLINK("http://www.eatonpowersource.com/products/configure/pumps/details/421615-cc","421615-CC")</f>
        <v>421615-CC</v>
      </c>
      <c r="B8572" s="6" t="s">
        <v>8528</v>
      </c>
    </row>
    <row r="8573" spans="1:2" x14ac:dyDescent="0.3">
      <c r="A8573" s="7" t="str">
        <f>HYPERLINK("http://www.eatonpowersource.com/products/configure/pumps/details/421619-cc","421619-CC")</f>
        <v>421619-CC</v>
      </c>
      <c r="B8573" s="8" t="s">
        <v>8529</v>
      </c>
    </row>
    <row r="8574" spans="1:2" x14ac:dyDescent="0.3">
      <c r="A8574" s="5" t="str">
        <f>HYPERLINK("http://www.eatonpowersource.com/products/configure/pumps/details/421948-aa","421948-AA")</f>
        <v>421948-AA</v>
      </c>
      <c r="B8574" s="6" t="s">
        <v>8530</v>
      </c>
    </row>
    <row r="8575" spans="1:2" x14ac:dyDescent="0.3">
      <c r="A8575" s="7" t="str">
        <f>HYPERLINK("http://www.eatonpowersource.com/products/configure/pumps/details/421965-a","421965-A")</f>
        <v>421965-A</v>
      </c>
      <c r="B8575" s="8" t="s">
        <v>8531</v>
      </c>
    </row>
    <row r="8576" spans="1:2" x14ac:dyDescent="0.3">
      <c r="A8576" s="5" t="str">
        <f>HYPERLINK("http://www.eatonpowersource.com/products/configure/pumps/details/421965-b","421965-B")</f>
        <v>421965-B</v>
      </c>
      <c r="B8576" s="6" t="s">
        <v>8532</v>
      </c>
    </row>
    <row r="8577" spans="1:2" x14ac:dyDescent="0.3">
      <c r="A8577" s="7" t="str">
        <f>HYPERLINK("http://www.eatonpowersource.com/products/configure/pumps/details/421965-c","421965-C")</f>
        <v>421965-C</v>
      </c>
      <c r="B8577" s="8" t="s">
        <v>8533</v>
      </c>
    </row>
    <row r="8578" spans="1:2" x14ac:dyDescent="0.3">
      <c r="A8578" s="5" t="str">
        <f>HYPERLINK("http://www.eatonpowersource.com/products/configure/pumps/details/421966-a","421966-A")</f>
        <v>421966-A</v>
      </c>
      <c r="B8578" s="6" t="s">
        <v>8534</v>
      </c>
    </row>
    <row r="8579" spans="1:2" x14ac:dyDescent="0.3">
      <c r="A8579" s="7" t="str">
        <f>HYPERLINK("http://www.eatonpowersource.com/products/configure/pumps/details/421966-c","421966-C")</f>
        <v>421966-C</v>
      </c>
      <c r="B8579" s="8" t="s">
        <v>8535</v>
      </c>
    </row>
    <row r="8580" spans="1:2" x14ac:dyDescent="0.3">
      <c r="A8580" s="5" t="str">
        <f>HYPERLINK("http://www.eatonpowersource.com/products/configure/pumps/details/421966-cl","421966-CL")</f>
        <v>421966-CL</v>
      </c>
      <c r="B8580" s="6" t="s">
        <v>8536</v>
      </c>
    </row>
    <row r="8581" spans="1:2" x14ac:dyDescent="0.3">
      <c r="A8581" s="7" t="str">
        <f>HYPERLINK("http://www.eatonpowersource.com/products/configure/pumps/details/421967-c","421967-C")</f>
        <v>421967-C</v>
      </c>
      <c r="B8581" s="8" t="s">
        <v>8537</v>
      </c>
    </row>
    <row r="8582" spans="1:2" x14ac:dyDescent="0.3">
      <c r="A8582" s="5" t="str">
        <f>HYPERLINK("http://www.eatonpowersource.com/products/configure/pumps/details/421967-d","421967-D")</f>
        <v>421967-D</v>
      </c>
      <c r="B8582" s="6" t="s">
        <v>8538</v>
      </c>
    </row>
    <row r="8583" spans="1:2" x14ac:dyDescent="0.3">
      <c r="A8583" s="7" t="str">
        <f>HYPERLINK("http://www.eatonpowersource.com/products/configure/pumps/details/424160-c","424160-C")</f>
        <v>424160-C</v>
      </c>
      <c r="B8583" s="8" t="s">
        <v>8539</v>
      </c>
    </row>
    <row r="8584" spans="1:2" x14ac:dyDescent="0.3">
      <c r="A8584" s="5" t="str">
        <f>HYPERLINK("http://www.eatonpowersource.com/products/configure/pumps/details/424418-aa","424418-AA")</f>
        <v>424418-AA</v>
      </c>
      <c r="B8584" s="6" t="s">
        <v>8540</v>
      </c>
    </row>
    <row r="8585" spans="1:2" x14ac:dyDescent="0.3">
      <c r="A8585" s="7" t="str">
        <f>HYPERLINK("http://www.eatonpowersource.com/products/configure/pumps/details/424418-ccl","424418-CCL")</f>
        <v>424418-CCL</v>
      </c>
      <c r="B8585" s="8" t="s">
        <v>8541</v>
      </c>
    </row>
    <row r="8586" spans="1:2" x14ac:dyDescent="0.3">
      <c r="A8586" s="5" t="str">
        <f>HYPERLINK("http://www.eatonpowersource.com/products/configure/pumps/details/425602-cc","425602-CC")</f>
        <v>425602-CC</v>
      </c>
      <c r="B8586" s="6" t="s">
        <v>8542</v>
      </c>
    </row>
    <row r="8587" spans="1:2" x14ac:dyDescent="0.3">
      <c r="A8587" s="7" t="str">
        <f>HYPERLINK("http://www.eatonpowersource.com/products/configure/pumps/details/425604-cc","425604-CC")</f>
        <v>425604-CC</v>
      </c>
      <c r="B8587" s="8" t="s">
        <v>8543</v>
      </c>
    </row>
    <row r="8588" spans="1:2" x14ac:dyDescent="0.3">
      <c r="A8588" s="5" t="str">
        <f>HYPERLINK("http://www.eatonpowersource.com/products/configure/pumps/details/427765-c","427765-C")</f>
        <v>427765-C</v>
      </c>
      <c r="B8588" s="6" t="s">
        <v>8544</v>
      </c>
    </row>
    <row r="8589" spans="1:2" x14ac:dyDescent="0.3">
      <c r="A8589" s="7" t="str">
        <f>HYPERLINK("http://www.eatonpowersource.com/products/configure/pumps/details/427807-c","427807-C")</f>
        <v>427807-C</v>
      </c>
      <c r="B8589" s="8" t="s">
        <v>8545</v>
      </c>
    </row>
    <row r="8590" spans="1:2" x14ac:dyDescent="0.3">
      <c r="A8590" s="5" t="str">
        <f>HYPERLINK("http://www.eatonpowersource.com/products/configure/pumps/details/428625-ba","428625-BA")</f>
        <v>428625-BA</v>
      </c>
      <c r="B8590" s="6" t="s">
        <v>8546</v>
      </c>
    </row>
    <row r="8591" spans="1:2" x14ac:dyDescent="0.3">
      <c r="A8591" s="7" t="str">
        <f>HYPERLINK("http://www.eatonpowersource.com/products/configure/pumps/details/428649-aal","428649-AAL")</f>
        <v>428649-AAL</v>
      </c>
      <c r="B8591" s="8" t="s">
        <v>8547</v>
      </c>
    </row>
    <row r="8592" spans="1:2" x14ac:dyDescent="0.3">
      <c r="A8592" s="5" t="str">
        <f>HYPERLINK("http://www.eatonpowersource.com/products/configure/pumps/details/428649-cc","428649-CC")</f>
        <v>428649-CC</v>
      </c>
      <c r="B8592" s="6" t="s">
        <v>8548</v>
      </c>
    </row>
    <row r="8593" spans="1:2" x14ac:dyDescent="0.3">
      <c r="A8593" s="7" t="str">
        <f>HYPERLINK("http://www.eatonpowersource.com/products/configure/pumps/details/429086-cc","429086-CC")</f>
        <v>429086-CC</v>
      </c>
      <c r="B8593" s="8" t="s">
        <v>8549</v>
      </c>
    </row>
    <row r="8594" spans="1:2" x14ac:dyDescent="0.3">
      <c r="A8594" s="5" t="str">
        <f>HYPERLINK("http://www.eatonpowersource.com/products/configure/pumps/details/429896-aa","429896-AA")</f>
        <v>429896-AA</v>
      </c>
      <c r="B8594" s="6" t="s">
        <v>8550</v>
      </c>
    </row>
    <row r="8595" spans="1:2" x14ac:dyDescent="0.3">
      <c r="A8595" s="7" t="str">
        <f>HYPERLINK("http://www.eatonpowersource.com/products/configure/pumps/details/429896-ac","429896-AC")</f>
        <v>429896-AC</v>
      </c>
      <c r="B8595" s="8" t="s">
        <v>8551</v>
      </c>
    </row>
    <row r="8596" spans="1:2" x14ac:dyDescent="0.3">
      <c r="A8596" s="5" t="str">
        <f>HYPERLINK("http://www.eatonpowersource.com/products/configure/pumps/details/429933-aa","429933-AA")</f>
        <v>429933-AA</v>
      </c>
      <c r="B8596" s="6" t="s">
        <v>8552</v>
      </c>
    </row>
    <row r="8597" spans="1:2" x14ac:dyDescent="0.3">
      <c r="A8597" s="7" t="str">
        <f>HYPERLINK("http://www.eatonpowersource.com/products/configure/pumps/details/429933-aal","429933-AAL")</f>
        <v>429933-AAL</v>
      </c>
      <c r="B8597" s="8" t="s">
        <v>8553</v>
      </c>
    </row>
    <row r="8598" spans="1:2" x14ac:dyDescent="0.3">
      <c r="A8598" s="5" t="str">
        <f>HYPERLINK("http://www.eatonpowersource.com/products/configure/pumps/details/429933-cc","429933-CC")</f>
        <v>429933-CC</v>
      </c>
      <c r="B8598" s="6" t="s">
        <v>8554</v>
      </c>
    </row>
    <row r="8599" spans="1:2" x14ac:dyDescent="0.3">
      <c r="A8599" s="7" t="str">
        <f>HYPERLINK("http://www.eatonpowersource.com/products/configure/pumps/details/429935-bb","429935-BB")</f>
        <v>429935-BB</v>
      </c>
      <c r="B8599" s="8" t="s">
        <v>8555</v>
      </c>
    </row>
    <row r="8600" spans="1:2" x14ac:dyDescent="0.3">
      <c r="A8600" s="5" t="str">
        <f>HYPERLINK("http://www.eatonpowersource.com/products/configure/pumps/details/429939-cc","429939-CC")</f>
        <v>429939-CC</v>
      </c>
      <c r="B8600" s="6" t="s">
        <v>8556</v>
      </c>
    </row>
    <row r="8601" spans="1:2" x14ac:dyDescent="0.3">
      <c r="A8601" s="7" t="str">
        <f>HYPERLINK("http://www.eatonpowersource.com/products/configure/pumps/details/429940-cc","429940-CC")</f>
        <v>429940-CC</v>
      </c>
      <c r="B8601" s="8" t="s">
        <v>8557</v>
      </c>
    </row>
    <row r="8602" spans="1:2" x14ac:dyDescent="0.3">
      <c r="A8602" s="5" t="str">
        <f>HYPERLINK("http://www.eatonpowersource.com/products/configure/pumps/details/429941-cc","429941-CC")</f>
        <v>429941-CC</v>
      </c>
      <c r="B8602" s="6" t="s">
        <v>8558</v>
      </c>
    </row>
    <row r="8603" spans="1:2" x14ac:dyDescent="0.3">
      <c r="A8603" s="7" t="str">
        <f>HYPERLINK("http://www.eatonpowersource.com/products/configure/pumps/details/429946-c","429946-C")</f>
        <v>429946-C</v>
      </c>
      <c r="B8603" s="8" t="s">
        <v>8559</v>
      </c>
    </row>
    <row r="8604" spans="1:2" x14ac:dyDescent="0.3">
      <c r="A8604" s="5" t="str">
        <f>HYPERLINK("http://www.eatonpowersource.com/products/configure/pumps/details/429946-cl","429946-CL")</f>
        <v>429946-CL</v>
      </c>
      <c r="B8604" s="6" t="s">
        <v>8560</v>
      </c>
    </row>
    <row r="8605" spans="1:2" x14ac:dyDescent="0.3">
      <c r="A8605" s="7" t="str">
        <f>HYPERLINK("http://www.eatonpowersource.com/products/configure/pumps/details/429953-cc","429953-CC")</f>
        <v>429953-CC</v>
      </c>
      <c r="B8605" s="8" t="s">
        <v>8561</v>
      </c>
    </row>
    <row r="8606" spans="1:2" x14ac:dyDescent="0.3">
      <c r="A8606" s="5" t="str">
        <f>HYPERLINK("http://www.eatonpowersource.com/products/configure/pumps/details/429953-ccl","429953-CCL")</f>
        <v>429953-CCL</v>
      </c>
      <c r="B8606" s="6" t="s">
        <v>8562</v>
      </c>
    </row>
    <row r="8607" spans="1:2" x14ac:dyDescent="0.3">
      <c r="A8607" s="7" t="str">
        <f>HYPERLINK("http://www.eatonpowersource.com/products/configure/pumps/details/430141-aa","430141-AA")</f>
        <v>430141-AA</v>
      </c>
      <c r="B8607" s="8" t="s">
        <v>8563</v>
      </c>
    </row>
    <row r="8608" spans="1:2" x14ac:dyDescent="0.3">
      <c r="A8608" s="5" t="str">
        <f>HYPERLINK("http://www.eatonpowersource.com/products/configure/pumps/details/430191-cc","430191-CC")</f>
        <v>430191-CC</v>
      </c>
      <c r="B8608" s="6" t="s">
        <v>8564</v>
      </c>
    </row>
    <row r="8609" spans="1:2" x14ac:dyDescent="0.3">
      <c r="A8609" s="7" t="str">
        <f>HYPERLINK("http://www.eatonpowersource.com/products/configure/pumps/details/430199-cc","430199-CC")</f>
        <v>430199-CC</v>
      </c>
      <c r="B8609" s="8" t="s">
        <v>8565</v>
      </c>
    </row>
    <row r="8610" spans="1:2" x14ac:dyDescent="0.3">
      <c r="A8610" s="5" t="str">
        <f>HYPERLINK("http://www.eatonpowersource.com/products/configure/pumps/details/430214-cc","430214-CC")</f>
        <v>430214-CC</v>
      </c>
      <c r="B8610" s="6" t="s">
        <v>8566</v>
      </c>
    </row>
    <row r="8611" spans="1:2" x14ac:dyDescent="0.3">
      <c r="A8611" s="7" t="str">
        <f>HYPERLINK("http://www.eatonpowersource.com/products/configure/pumps/details/430214-ccl","430214-CCL")</f>
        <v>430214-CCL</v>
      </c>
      <c r="B8611" s="8" t="s">
        <v>8567</v>
      </c>
    </row>
    <row r="8612" spans="1:2" x14ac:dyDescent="0.3">
      <c r="A8612" s="5" t="str">
        <f>HYPERLINK("http://www.eatonpowersource.com/products/configure/pumps/details/430231-bb","430231-BB")</f>
        <v>430231-BB</v>
      </c>
      <c r="B8612" s="6" t="s">
        <v>8568</v>
      </c>
    </row>
    <row r="8613" spans="1:2" x14ac:dyDescent="0.3">
      <c r="A8613" s="7" t="str">
        <f>HYPERLINK("http://www.eatonpowersource.com/products/configure/pumps/details/430501-cc","430501-CC")</f>
        <v>430501-CC</v>
      </c>
      <c r="B8613" s="8" t="s">
        <v>8569</v>
      </c>
    </row>
    <row r="8614" spans="1:2" x14ac:dyDescent="0.3">
      <c r="A8614" s="5" t="str">
        <f>HYPERLINK("http://www.eatonpowersource.com/products/configure/pumps/details/430552-cc","430552-CC")</f>
        <v>430552-CC</v>
      </c>
      <c r="B8614" s="6" t="s">
        <v>8570</v>
      </c>
    </row>
    <row r="8615" spans="1:2" x14ac:dyDescent="0.3">
      <c r="A8615" s="7" t="str">
        <f>HYPERLINK("http://www.eatonpowersource.com/products/configure/pumps/details/430552-ccl","430552-CCL")</f>
        <v>430552-CCL</v>
      </c>
      <c r="B8615" s="8" t="s">
        <v>8571</v>
      </c>
    </row>
    <row r="8616" spans="1:2" x14ac:dyDescent="0.3">
      <c r="A8616" s="5" t="str">
        <f>HYPERLINK("http://www.eatonpowersource.com/products/configure/pumps/details/430567-aa","430567-AA")</f>
        <v>430567-AA</v>
      </c>
      <c r="B8616" s="6" t="s">
        <v>8572</v>
      </c>
    </row>
    <row r="8617" spans="1:2" x14ac:dyDescent="0.3">
      <c r="A8617" s="7" t="str">
        <f>HYPERLINK("http://www.eatonpowersource.com/products/configure/pumps/details/430582-cl","430582-CL")</f>
        <v>430582-CL</v>
      </c>
      <c r="B8617" s="8" t="s">
        <v>8573</v>
      </c>
    </row>
    <row r="8618" spans="1:2" x14ac:dyDescent="0.3">
      <c r="A8618" s="5" t="str">
        <f>HYPERLINK("http://www.eatonpowersource.com/products/configure/pumps/details/431786-aa","431786-AA")</f>
        <v>431786-AA</v>
      </c>
      <c r="B8618" s="6" t="s">
        <v>8574</v>
      </c>
    </row>
    <row r="8619" spans="1:2" x14ac:dyDescent="0.3">
      <c r="A8619" s="7" t="str">
        <f>HYPERLINK("http://www.eatonpowersource.com/products/configure/pumps/details/431786-cc","431786-CC")</f>
        <v>431786-CC</v>
      </c>
      <c r="B8619" s="8" t="s">
        <v>8575</v>
      </c>
    </row>
    <row r="8620" spans="1:2" x14ac:dyDescent="0.3">
      <c r="A8620" s="5" t="str">
        <f>HYPERLINK("http://www.eatonpowersource.com/products/configure/pumps/details/431823-aal","431823-AAL")</f>
        <v>431823-AAL</v>
      </c>
      <c r="B8620" s="6" t="s">
        <v>8576</v>
      </c>
    </row>
    <row r="8621" spans="1:2" x14ac:dyDescent="0.3">
      <c r="A8621" s="7" t="str">
        <f>HYPERLINK("http://www.eatonpowersource.com/products/configure/pumps/details/431823-cc","431823-CC")</f>
        <v>431823-CC</v>
      </c>
      <c r="B8621" s="8" t="s">
        <v>8577</v>
      </c>
    </row>
    <row r="8622" spans="1:2" x14ac:dyDescent="0.3">
      <c r="A8622" s="5" t="str">
        <f>HYPERLINK("http://www.eatonpowersource.com/products/configure/pumps/details/431861-cc","431861-CC")</f>
        <v>431861-CC</v>
      </c>
      <c r="B8622" s="6" t="s">
        <v>8578</v>
      </c>
    </row>
    <row r="8623" spans="1:2" x14ac:dyDescent="0.3">
      <c r="A8623" s="7" t="str">
        <f>HYPERLINK("http://www.eatonpowersource.com/products/configure/pumps/details/432637-cc","432637-CC")</f>
        <v>432637-CC</v>
      </c>
      <c r="B8623" s="8" t="s">
        <v>8579</v>
      </c>
    </row>
    <row r="8624" spans="1:2" x14ac:dyDescent="0.3">
      <c r="A8624" s="5" t="str">
        <f>HYPERLINK("http://www.eatonpowersource.com/products/configure/pumps/details/432647-c","432647-C")</f>
        <v>432647-C</v>
      </c>
      <c r="B8624" s="6" t="s">
        <v>8580</v>
      </c>
    </row>
    <row r="8625" spans="1:2" x14ac:dyDescent="0.3">
      <c r="A8625" s="7" t="str">
        <f>HYPERLINK("http://www.eatonpowersource.com/products/configure/pumps/details/432658-cc","432658-CC")</f>
        <v>432658-CC</v>
      </c>
      <c r="B8625" s="8" t="s">
        <v>8581</v>
      </c>
    </row>
    <row r="8626" spans="1:2" x14ac:dyDescent="0.3">
      <c r="A8626" s="5" t="str">
        <f>HYPERLINK("http://www.eatonpowersource.com/products/configure/pumps/details/432659-aa","432659-AA")</f>
        <v>432659-AA</v>
      </c>
      <c r="B8626" s="6" t="s">
        <v>8582</v>
      </c>
    </row>
    <row r="8627" spans="1:2" x14ac:dyDescent="0.3">
      <c r="A8627" s="7" t="str">
        <f>HYPERLINK("http://www.eatonpowersource.com/products/configure/pumps/details/432659-cc","432659-CC")</f>
        <v>432659-CC</v>
      </c>
      <c r="B8627" s="8" t="s">
        <v>8583</v>
      </c>
    </row>
    <row r="8628" spans="1:2" x14ac:dyDescent="0.3">
      <c r="A8628" s="5" t="str">
        <f>HYPERLINK("http://www.eatonpowersource.com/products/configure/pumps/details/432666-cc","432666-CC")</f>
        <v>432666-CC</v>
      </c>
      <c r="B8628" s="6" t="s">
        <v>8584</v>
      </c>
    </row>
    <row r="8629" spans="1:2" x14ac:dyDescent="0.3">
      <c r="A8629" s="7" t="str">
        <f>HYPERLINK("http://www.eatonpowersource.com/products/configure/pumps/details/432672-cc","432672-CC")</f>
        <v>432672-CC</v>
      </c>
      <c r="B8629" s="8" t="s">
        <v>8585</v>
      </c>
    </row>
    <row r="8630" spans="1:2" x14ac:dyDescent="0.3">
      <c r="A8630" s="5" t="str">
        <f>HYPERLINK("http://www.eatonpowersource.com/products/configure/pumps/details/433252-bl","433252-BL")</f>
        <v>433252-BL</v>
      </c>
      <c r="B8630" s="6" t="s">
        <v>8586</v>
      </c>
    </row>
    <row r="8631" spans="1:2" x14ac:dyDescent="0.3">
      <c r="A8631" s="7" t="str">
        <f>HYPERLINK("http://www.eatonpowersource.com/products/configure/pumps/details/433252-c","433252-C")</f>
        <v>433252-C</v>
      </c>
      <c r="B8631" s="8" t="s">
        <v>8587</v>
      </c>
    </row>
    <row r="8632" spans="1:2" x14ac:dyDescent="0.3">
      <c r="A8632" s="5" t="str">
        <f>HYPERLINK("http://www.eatonpowersource.com/products/configure/pumps/details/433257-ccl","433257-CCL")</f>
        <v>433257-CCL</v>
      </c>
      <c r="B8632" s="6" t="s">
        <v>8588</v>
      </c>
    </row>
    <row r="8633" spans="1:2" x14ac:dyDescent="0.3">
      <c r="A8633" s="7" t="str">
        <f>HYPERLINK("http://www.eatonpowersource.com/products/configure/pumps/details/433286-aa","433286-AA")</f>
        <v>433286-AA</v>
      </c>
      <c r="B8633" s="8" t="s">
        <v>8589</v>
      </c>
    </row>
    <row r="8634" spans="1:2" x14ac:dyDescent="0.3">
      <c r="A8634" s="5" t="str">
        <f>HYPERLINK("http://www.eatonpowersource.com/products/configure/pumps/details/433286-cc","433286-CC")</f>
        <v>433286-CC</v>
      </c>
      <c r="B8634" s="6" t="s">
        <v>8590</v>
      </c>
    </row>
    <row r="8635" spans="1:2" x14ac:dyDescent="0.3">
      <c r="A8635" s="7" t="str">
        <f>HYPERLINK("http://www.eatonpowersource.com/products/configure/pumps/details/433334-cc","433334-CC")</f>
        <v>433334-CC</v>
      </c>
      <c r="B8635" s="8" t="s">
        <v>8591</v>
      </c>
    </row>
    <row r="8636" spans="1:2" x14ac:dyDescent="0.3">
      <c r="A8636" s="5" t="str">
        <f>HYPERLINK("http://www.eatonpowersource.com/products/configure/pumps/details/433776-cc","433776-CC")</f>
        <v>433776-CC</v>
      </c>
      <c r="B8636" s="6" t="s">
        <v>8592</v>
      </c>
    </row>
    <row r="8637" spans="1:2" x14ac:dyDescent="0.3">
      <c r="A8637" s="7" t="str">
        <f>HYPERLINK("http://www.eatonpowersource.com/products/configure/pumps/details/433780-aal","433780-AAL")</f>
        <v>433780-AAL</v>
      </c>
      <c r="B8637" s="8" t="s">
        <v>8593</v>
      </c>
    </row>
    <row r="8638" spans="1:2" x14ac:dyDescent="0.3">
      <c r="A8638" s="5" t="str">
        <f>HYPERLINK("http://www.eatonpowersource.com/products/configure/pumps/details/433801-c","433801-C")</f>
        <v>433801-C</v>
      </c>
      <c r="B8638" s="6" t="s">
        <v>8594</v>
      </c>
    </row>
    <row r="8639" spans="1:2" x14ac:dyDescent="0.3">
      <c r="A8639" s="7" t="str">
        <f>HYPERLINK("http://www.eatonpowersource.com/products/configure/pumps/details/433831-cc","433831-CC")</f>
        <v>433831-CC</v>
      </c>
      <c r="B8639" s="8" t="s">
        <v>8595</v>
      </c>
    </row>
    <row r="8640" spans="1:2" x14ac:dyDescent="0.3">
      <c r="A8640" s="5" t="str">
        <f>HYPERLINK("http://www.eatonpowersource.com/products/configure/pumps/details/434682-cc","434682-CC")</f>
        <v>434682-CC</v>
      </c>
      <c r="B8640" s="6" t="s">
        <v>8596</v>
      </c>
    </row>
    <row r="8641" spans="1:2" x14ac:dyDescent="0.3">
      <c r="A8641" s="7" t="str">
        <f>HYPERLINK("http://www.eatonpowersource.com/products/configure/pumps/details/434704-aa","434704-AA")</f>
        <v>434704-AA</v>
      </c>
      <c r="B8641" s="8" t="s">
        <v>8597</v>
      </c>
    </row>
    <row r="8642" spans="1:2" x14ac:dyDescent="0.3">
      <c r="A8642" s="5" t="str">
        <f>HYPERLINK("http://www.eatonpowersource.com/products/configure/pumps/details/451483-a","451483-A")</f>
        <v>451483-A</v>
      </c>
      <c r="B8642" s="6" t="s">
        <v>8598</v>
      </c>
    </row>
    <row r="8643" spans="1:2" x14ac:dyDescent="0.3">
      <c r="A8643" s="7" t="str">
        <f>HYPERLINK("http://www.eatonpowersource.com/products/configure/pumps/details/452118-bb","452118-BB")</f>
        <v>452118-BB</v>
      </c>
      <c r="B8643" s="8" t="s">
        <v>8599</v>
      </c>
    </row>
    <row r="8644" spans="1:2" x14ac:dyDescent="0.3">
      <c r="A8644" s="5" t="str">
        <f>HYPERLINK("http://www.eatonpowersource.com/products/configure/pumps/details/452514-cc","452514-CC")</f>
        <v>452514-CC</v>
      </c>
      <c r="B8644" s="6" t="s">
        <v>8600</v>
      </c>
    </row>
    <row r="8645" spans="1:2" x14ac:dyDescent="0.3">
      <c r="A8645" s="7" t="str">
        <f>HYPERLINK("http://www.eatonpowersource.com/products/configure/pumps/details/452689-cc","452689-CC")</f>
        <v>452689-CC</v>
      </c>
      <c r="B8645" s="8" t="s">
        <v>8601</v>
      </c>
    </row>
    <row r="8646" spans="1:2" x14ac:dyDescent="0.3">
      <c r="A8646" s="5" t="str">
        <f>HYPERLINK("http://www.eatonpowersource.com/products/configure/pumps/details/452696-aa","452696-AA")</f>
        <v>452696-AA</v>
      </c>
      <c r="B8646" s="6" t="s">
        <v>8602</v>
      </c>
    </row>
    <row r="8647" spans="1:2" x14ac:dyDescent="0.3">
      <c r="A8647" s="7" t="str">
        <f>HYPERLINK("http://www.eatonpowersource.com/products/configure/pumps/details/452696-cc","452696-CC")</f>
        <v>452696-CC</v>
      </c>
      <c r="B8647" s="8" t="s">
        <v>8603</v>
      </c>
    </row>
    <row r="8648" spans="1:2" x14ac:dyDescent="0.3">
      <c r="A8648" s="5" t="str">
        <f>HYPERLINK("http://www.eatonpowersource.com/products/configure/pumps/details/452726-aa","452726-AA")</f>
        <v>452726-AA</v>
      </c>
      <c r="B8648" s="6" t="s">
        <v>8604</v>
      </c>
    </row>
    <row r="8649" spans="1:2" x14ac:dyDescent="0.3">
      <c r="A8649" s="7" t="str">
        <f>HYPERLINK("http://www.eatonpowersource.com/products/configure/pumps/details/452732-aa","452732-AA")</f>
        <v>452732-AA</v>
      </c>
      <c r="B8649" s="8" t="s">
        <v>8605</v>
      </c>
    </row>
    <row r="8650" spans="1:2" x14ac:dyDescent="0.3">
      <c r="A8650" s="5" t="str">
        <f>HYPERLINK("http://www.eatonpowersource.com/products/configure/pumps/details/453090-ad","453090-AD")</f>
        <v>453090-AD</v>
      </c>
      <c r="B8650" s="6" t="s">
        <v>8606</v>
      </c>
    </row>
    <row r="8651" spans="1:2" x14ac:dyDescent="0.3">
      <c r="A8651" s="7" t="str">
        <f>HYPERLINK("http://www.eatonpowersource.com/products/configure/pumps/details/453287-bbl","453287-BBL")</f>
        <v>453287-BBL</v>
      </c>
      <c r="B8651" s="8" t="s">
        <v>8607</v>
      </c>
    </row>
    <row r="8652" spans="1:2" x14ac:dyDescent="0.3">
      <c r="A8652" s="5" t="str">
        <f>HYPERLINK("http://www.eatonpowersource.com/products/configure/pumps/details/453471-aal","453471-AAL")</f>
        <v>453471-AAL</v>
      </c>
      <c r="B8652" s="6" t="s">
        <v>8608</v>
      </c>
    </row>
    <row r="8653" spans="1:2" x14ac:dyDescent="0.3">
      <c r="A8653" s="7" t="str">
        <f>HYPERLINK("http://www.eatonpowersource.com/products/configure/pumps/details/477897-cl","477897-CL")</f>
        <v>477897-CL</v>
      </c>
      <c r="B8653" s="8" t="s">
        <v>8609</v>
      </c>
    </row>
    <row r="8654" spans="1:2" x14ac:dyDescent="0.3">
      <c r="A8654" s="5" t="str">
        <f>HYPERLINK("http://www.eatonpowersource.com/products/configure/pumps/details/497140-a","497140-A")</f>
        <v>497140-A</v>
      </c>
      <c r="B8654" s="6" t="s">
        <v>8610</v>
      </c>
    </row>
    <row r="8655" spans="1:2" x14ac:dyDescent="0.3">
      <c r="A8655" s="7" t="str">
        <f>HYPERLINK("http://www.eatonpowersource.com/products/configure/pumps/details/497140-c","497140-C")</f>
        <v>497140-C</v>
      </c>
      <c r="B8655" s="8" t="s">
        <v>8611</v>
      </c>
    </row>
    <row r="8656" spans="1:2" x14ac:dyDescent="0.3">
      <c r="A8656" s="5" t="str">
        <f>HYPERLINK("http://www.eatonpowersource.com/products/configure/pumps/details/502210-bbl","502210-BBL")</f>
        <v>502210-BBL</v>
      </c>
      <c r="B8656" s="6" t="s">
        <v>8612</v>
      </c>
    </row>
    <row r="8657" spans="1:2" x14ac:dyDescent="0.3">
      <c r="A8657" s="7" t="str">
        <f>HYPERLINK("http://www.eatonpowersource.com/products/configure/pumps/details/502480","502480")</f>
        <v>502480</v>
      </c>
      <c r="B8657" s="8" t="s">
        <v>8613</v>
      </c>
    </row>
    <row r="8658" spans="1:2" x14ac:dyDescent="0.3">
      <c r="A8658" s="5" t="str">
        <f>HYPERLINK("http://www.eatonpowersource.com/products/configure/pumps/details/502528-cb","502528-CB")</f>
        <v>502528-CB</v>
      </c>
      <c r="B8658" s="6" t="s">
        <v>8614</v>
      </c>
    </row>
    <row r="8659" spans="1:2" x14ac:dyDescent="0.3">
      <c r="A8659" s="7" t="str">
        <f>HYPERLINK("http://www.eatonpowersource.com/products/configure/pumps/details/502530-ac","502530-AC")</f>
        <v>502530-AC</v>
      </c>
      <c r="B8659" s="8" t="s">
        <v>8615</v>
      </c>
    </row>
    <row r="8660" spans="1:2" x14ac:dyDescent="0.3">
      <c r="A8660" s="5" t="str">
        <f>HYPERLINK("http://www.eatonpowersource.com/products/configure/pumps/details/573195-cc","573195-CC")</f>
        <v>573195-CC</v>
      </c>
      <c r="B8660" s="6" t="s">
        <v>8616</v>
      </c>
    </row>
    <row r="8661" spans="1:2" x14ac:dyDescent="0.3">
      <c r="A8661" s="7" t="str">
        <f>HYPERLINK("http://www.eatonpowersource.com/products/configure/pumps/details/573197-cc","573197-CC")</f>
        <v>573197-CC</v>
      </c>
      <c r="B8661" s="8" t="s">
        <v>8617</v>
      </c>
    </row>
    <row r="8662" spans="1:2" x14ac:dyDescent="0.3">
      <c r="A8662" s="5" t="str">
        <f>HYPERLINK("http://www.eatonpowersource.com/products/configure/pumps/details/573980-cc","573980-CC")</f>
        <v>573980-CC</v>
      </c>
      <c r="B8662" s="6" t="s">
        <v>8618</v>
      </c>
    </row>
    <row r="8663" spans="1:2" x14ac:dyDescent="0.3">
      <c r="A8663" s="7" t="str">
        <f>HYPERLINK("http://www.eatonpowersource.com/products/configure/pumps/details/575454-cc","575454-CC")</f>
        <v>575454-CC</v>
      </c>
      <c r="B8663" s="8" t="s">
        <v>8619</v>
      </c>
    </row>
    <row r="8664" spans="1:2" x14ac:dyDescent="0.3">
      <c r="A8664" s="5" t="str">
        <f>HYPERLINK("http://www.eatonpowersource.com/products/configure/pumps/details/575494-cc","575494-CC")</f>
        <v>575494-CC</v>
      </c>
      <c r="B8664" s="6" t="s">
        <v>8620</v>
      </c>
    </row>
    <row r="8665" spans="1:2" x14ac:dyDescent="0.3">
      <c r="A8665" s="7" t="str">
        <f>HYPERLINK("http://www.eatonpowersource.com/products/configure/pumps/details/576964-aa","576964-AA")</f>
        <v>576964-AA</v>
      </c>
      <c r="B8665" s="8" t="s">
        <v>8621</v>
      </c>
    </row>
    <row r="8666" spans="1:2" x14ac:dyDescent="0.3">
      <c r="A8666" s="5" t="str">
        <f>HYPERLINK("http://www.eatonpowersource.com/products/configure/pumps/details/576964-cc","576964-CC")</f>
        <v>576964-CC</v>
      </c>
      <c r="B8666" s="6" t="s">
        <v>8622</v>
      </c>
    </row>
    <row r="8667" spans="1:2" x14ac:dyDescent="0.3">
      <c r="A8667" s="7" t="str">
        <f>HYPERLINK("http://www.eatonpowersource.com/products/configure/pumps/details/577356-cc","577356-CC")</f>
        <v>577356-CC</v>
      </c>
      <c r="B8667" s="8" t="s">
        <v>8623</v>
      </c>
    </row>
    <row r="8668" spans="1:2" x14ac:dyDescent="0.3">
      <c r="A8668" s="5" t="str">
        <f>HYPERLINK("http://www.eatonpowersource.com/products/configure/pumps/details/578142-cc","578142-CC")</f>
        <v>578142-CC</v>
      </c>
      <c r="B8668" s="6" t="s">
        <v>8624</v>
      </c>
    </row>
    <row r="8669" spans="1:2" x14ac:dyDescent="0.3">
      <c r="A8669" s="7" t="str">
        <f>HYPERLINK("http://www.eatonpowersource.com/products/configure/pumps/details/578231-cc","578231-CC")</f>
        <v>578231-CC</v>
      </c>
      <c r="B8669" s="8" t="s">
        <v>8625</v>
      </c>
    </row>
    <row r="8670" spans="1:2" x14ac:dyDescent="0.3">
      <c r="A8670" s="5" t="str">
        <f>HYPERLINK("http://www.eatonpowersource.com/products/configure/pumps/details/579737-cc","579737-CC")</f>
        <v>579737-CC</v>
      </c>
      <c r="B8670" s="6" t="s">
        <v>8626</v>
      </c>
    </row>
    <row r="8671" spans="1:2" x14ac:dyDescent="0.3">
      <c r="A8671" s="7" t="str">
        <f>HYPERLINK("http://www.eatonpowersource.com/products/configure/pumps/details/579768-aa","579768-AA")</f>
        <v>579768-AA</v>
      </c>
      <c r="B8671" s="8" t="s">
        <v>8627</v>
      </c>
    </row>
    <row r="8672" spans="1:2" x14ac:dyDescent="0.3">
      <c r="A8672" s="5" t="str">
        <f>HYPERLINK("http://www.eatonpowersource.com/products/configure/pumps/details/579791-cc","579791-CC")</f>
        <v>579791-CC</v>
      </c>
      <c r="B8672" s="6" t="s">
        <v>8628</v>
      </c>
    </row>
    <row r="8673" spans="1:2" x14ac:dyDescent="0.3">
      <c r="A8673" s="7" t="str">
        <f>HYPERLINK("http://www.eatonpowersource.com/products/configure/pumps/details/581760-cc","581760-CC")</f>
        <v>581760-CC</v>
      </c>
      <c r="B8673" s="8" t="s">
        <v>8629</v>
      </c>
    </row>
    <row r="8674" spans="1:2" x14ac:dyDescent="0.3">
      <c r="A8674" s="5" t="str">
        <f>HYPERLINK("http://www.eatonpowersource.com/products/configure/pumps/details/582519","582519")</f>
        <v>582519</v>
      </c>
      <c r="B8674" s="6" t="s">
        <v>8630</v>
      </c>
    </row>
    <row r="8675" spans="1:2" x14ac:dyDescent="0.3">
      <c r="A8675" s="7" t="str">
        <f>HYPERLINK("http://www.eatonpowersource.com/products/configure/pumps/details/582639-aa","582639-AA")</f>
        <v>582639-AA</v>
      </c>
      <c r="B8675" s="8" t="s">
        <v>8631</v>
      </c>
    </row>
    <row r="8676" spans="1:2" x14ac:dyDescent="0.3">
      <c r="A8676" s="5" t="str">
        <f>HYPERLINK("http://www.eatonpowersource.com/products/configure/pumps/details/582639-cc","582639-CC")</f>
        <v>582639-CC</v>
      </c>
      <c r="B8676" s="6" t="s">
        <v>8632</v>
      </c>
    </row>
    <row r="8677" spans="1:2" x14ac:dyDescent="0.3">
      <c r="A8677" s="7" t="str">
        <f>HYPERLINK("http://www.eatonpowersource.com/products/configure/pumps/details/584286-cc","584286-CC")</f>
        <v>584286-CC</v>
      </c>
      <c r="B8677" s="8" t="s">
        <v>8633</v>
      </c>
    </row>
    <row r="8678" spans="1:2" x14ac:dyDescent="0.3">
      <c r="A8678" s="5" t="str">
        <f>HYPERLINK("http://www.eatonpowersource.com/products/configure/pumps/details/584369-cc","584369-CC")</f>
        <v>584369-CC</v>
      </c>
      <c r="B8678" s="6" t="s">
        <v>8634</v>
      </c>
    </row>
    <row r="8679" spans="1:2" x14ac:dyDescent="0.3">
      <c r="A8679" s="7" t="str">
        <f>HYPERLINK("http://www.eatonpowersource.com/products/configure/pumps/details/588631-aa","588631-AA")</f>
        <v>588631-AA</v>
      </c>
      <c r="B8679" s="8" t="s">
        <v>8635</v>
      </c>
    </row>
    <row r="8680" spans="1:2" x14ac:dyDescent="0.3">
      <c r="A8680" s="5" t="str">
        <f>HYPERLINK("http://www.eatonpowersource.com/products/configure/pumps/details/591076-bdl","591076-BDL")</f>
        <v>591076-BDL</v>
      </c>
      <c r="B8680" s="6" t="s">
        <v>8636</v>
      </c>
    </row>
    <row r="8681" spans="1:2" x14ac:dyDescent="0.3">
      <c r="A8681" s="7" t="str">
        <f>HYPERLINK("http://www.eatonpowersource.com/products/configure/pumps/details/591367-cl","591367-CL")</f>
        <v>591367-CL</v>
      </c>
      <c r="B8681" s="8" t="s">
        <v>8637</v>
      </c>
    </row>
    <row r="8682" spans="1:2" x14ac:dyDescent="0.3">
      <c r="A8682" s="5" t="str">
        <f>HYPERLINK("http://www.eatonpowersource.com/products/configure/pumps/details/596656-bc","596656-BC")</f>
        <v>596656-BC</v>
      </c>
      <c r="B8682" s="6" t="s">
        <v>8638</v>
      </c>
    </row>
    <row r="8683" spans="1:2" x14ac:dyDescent="0.3">
      <c r="A8683" s="7" t="str">
        <f>HYPERLINK("http://www.eatonpowersource.com/products/configure/pumps/details/596771-dbl","596771-DBL")</f>
        <v>596771-DBL</v>
      </c>
      <c r="B8683" s="8" t="s">
        <v>8639</v>
      </c>
    </row>
    <row r="8684" spans="1:2" x14ac:dyDescent="0.3">
      <c r="A8684" s="5" t="str">
        <f>HYPERLINK("http://www.eatonpowersource.com/products/configure/pumps/details/629310-cc","629310-CC")</f>
        <v>629310-CC</v>
      </c>
      <c r="B8684" s="6" t="s">
        <v>8640</v>
      </c>
    </row>
    <row r="8685" spans="1:2" x14ac:dyDescent="0.3">
      <c r="A8685" s="7" t="str">
        <f>HYPERLINK("http://www.eatonpowersource.com/products/configure/pumps/details/629408-c","629408-C")</f>
        <v>629408-C</v>
      </c>
      <c r="B8685" s="8" t="s">
        <v>8641</v>
      </c>
    </row>
    <row r="8686" spans="1:2" x14ac:dyDescent="0.3">
      <c r="A8686" s="5" t="str">
        <f>HYPERLINK("http://www.eatonpowersource.com/products/configure/pumps/details/629417-aa","629417-AA")</f>
        <v>629417-AA</v>
      </c>
      <c r="B8686" s="6" t="s">
        <v>8642</v>
      </c>
    </row>
    <row r="8687" spans="1:2" x14ac:dyDescent="0.3">
      <c r="A8687" s="7" t="str">
        <f>HYPERLINK("http://www.eatonpowersource.com/products/configure/pumps/details/629450-cc","629450-CC")</f>
        <v>629450-CC</v>
      </c>
      <c r="B8687" s="8" t="s">
        <v>8643</v>
      </c>
    </row>
    <row r="8688" spans="1:2" x14ac:dyDescent="0.3">
      <c r="A8688" s="5" t="str">
        <f>HYPERLINK("http://www.eatonpowersource.com/products/configure/pumps/details/688180-bcl","688180-BCL")</f>
        <v>688180-BCL</v>
      </c>
      <c r="B8688" s="6" t="s">
        <v>8644</v>
      </c>
    </row>
    <row r="8689" spans="1:2" x14ac:dyDescent="0.3">
      <c r="A8689" s="7" t="str">
        <f>HYPERLINK("http://www.eatonpowersource.com/products/configure/pumps/details/718ar00129a","718AR00129A")</f>
        <v>718AR00129A</v>
      </c>
      <c r="B8689" s="8" t="s">
        <v>8645</v>
      </c>
    </row>
    <row r="8690" spans="1:2" x14ac:dyDescent="0.3">
      <c r="A8690" s="5" t="str">
        <f>HYPERLINK("http://www.eatonpowersource.com/products/configure/pumps/details/718ar00185a","718AR00185A")</f>
        <v>718AR00185A</v>
      </c>
      <c r="B8690" s="6" t="s">
        <v>8646</v>
      </c>
    </row>
    <row r="8691" spans="1:2" x14ac:dyDescent="0.3">
      <c r="A8691" s="7" t="str">
        <f>HYPERLINK("http://www.eatonpowersource.com/products/configure/pumps/details/728ar00004a","728AR00004A")</f>
        <v>728AR00004A</v>
      </c>
      <c r="B8691" s="8" t="s">
        <v>8647</v>
      </c>
    </row>
    <row r="8692" spans="1:2" x14ac:dyDescent="0.3">
      <c r="A8692" s="5" t="str">
        <f>HYPERLINK("http://www.eatonpowersource.com/products/configure/pumps/details/728ar00014a","728AR00014A")</f>
        <v>728AR00014A</v>
      </c>
      <c r="B8692" s="6" t="s">
        <v>8648</v>
      </c>
    </row>
    <row r="8693" spans="1:2" x14ac:dyDescent="0.3">
      <c r="A8693" s="7" t="str">
        <f>HYPERLINK("http://www.eatonpowersource.com/products/configure/pumps/details/813096-a","813096-A")</f>
        <v>813096-A</v>
      </c>
      <c r="B8693" s="8" t="s">
        <v>8649</v>
      </c>
    </row>
    <row r="8694" spans="1:2" x14ac:dyDescent="0.3">
      <c r="A8694" s="5" t="str">
        <f>HYPERLINK("http://www.eatonpowersource.com/products/configure/pumps/details/849812-c","849812-C")</f>
        <v>849812-C</v>
      </c>
      <c r="B8694" s="6" t="s">
        <v>8650</v>
      </c>
    </row>
    <row r="8695" spans="1:2" x14ac:dyDescent="0.3">
      <c r="A8695" s="7" t="str">
        <f>HYPERLINK("http://www.eatonpowersource.com/products/configure/pumps/details/849874-a","849874-A")</f>
        <v>849874-A</v>
      </c>
      <c r="B8695" s="8" t="s">
        <v>8651</v>
      </c>
    </row>
    <row r="8696" spans="1:2" x14ac:dyDescent="0.3">
      <c r="A8696" s="5" t="str">
        <f>HYPERLINK("http://www.eatonpowersource.com/products/configure/pumps/details/849874-al","849874-AL")</f>
        <v>849874-AL</v>
      </c>
      <c r="B8696" s="6" t="s">
        <v>8652</v>
      </c>
    </row>
    <row r="8697" spans="1:2" x14ac:dyDescent="0.3">
      <c r="A8697" s="7" t="str">
        <f>HYPERLINK("http://www.eatonpowersource.com/products/configure/pumps/details/860075-cc","860075-CC")</f>
        <v>860075-CC</v>
      </c>
      <c r="B8697" s="8" t="s">
        <v>8653</v>
      </c>
    </row>
    <row r="8698" spans="1:2" x14ac:dyDescent="0.3">
      <c r="A8698" s="5" t="str">
        <f>HYPERLINK("http://www.eatonpowersource.com/products/configure/pumps/details/860295-bl","860295-BL")</f>
        <v>860295-BL</v>
      </c>
      <c r="B8698" s="6" t="s">
        <v>8654</v>
      </c>
    </row>
    <row r="8699" spans="1:2" x14ac:dyDescent="0.3">
      <c r="A8699" s="7" t="str">
        <f>HYPERLINK("http://www.eatonpowersource.com/products/configure/pumps/details/981306-a","981306-A")</f>
        <v>981306-A</v>
      </c>
      <c r="B8699" s="8" t="s">
        <v>8655</v>
      </c>
    </row>
    <row r="8700" spans="1:2" x14ac:dyDescent="0.3">
      <c r="A8700" s="5" t="str">
        <f>HYPERLINK("http://www.eatonpowersource.com/products/configure/pumps/details/981306-al","981306-AL")</f>
        <v>981306-AL</v>
      </c>
      <c r="B8700" s="6" t="s">
        <v>8656</v>
      </c>
    </row>
    <row r="8701" spans="1:2" x14ac:dyDescent="0.3">
      <c r="A8701" s="7" t="str">
        <f>HYPERLINK("http://www.eatonpowersource.com/products/configure/pumps/details/981306-c","981306-C")</f>
        <v>981306-C</v>
      </c>
      <c r="B8701" s="8" t="s">
        <v>8657</v>
      </c>
    </row>
    <row r="8702" spans="1:2" x14ac:dyDescent="0.3">
      <c r="A8702" s="5" t="str">
        <f>HYPERLINK("http://www.eatonpowersource.com/products/configure/pumps/details/981308-c","981308-C")</f>
        <v>981308-C</v>
      </c>
      <c r="B8702" s="6" t="s">
        <v>8658</v>
      </c>
    </row>
    <row r="8703" spans="1:2" x14ac:dyDescent="0.3">
      <c r="A8703" s="7" t="str">
        <f>HYPERLINK("http://www.eatonpowersource.com/products/configure/pumps/details/981309-a","981309-A")</f>
        <v>981309-A</v>
      </c>
      <c r="B8703" s="8" t="s">
        <v>8659</v>
      </c>
    </row>
    <row r="8704" spans="1:2" x14ac:dyDescent="0.3">
      <c r="A8704" s="5" t="str">
        <f>HYPERLINK("http://www.eatonpowersource.com/products/configure/pumps/details/981309-c","981309-C")</f>
        <v>981309-C</v>
      </c>
      <c r="B8704" s="6" t="s">
        <v>8660</v>
      </c>
    </row>
    <row r="8705" spans="1:2" x14ac:dyDescent="0.3">
      <c r="A8705" s="7" t="str">
        <f>HYPERLINK("http://www.eatonpowersource.com/products/configure/motors/details/02-318692-c","02-318692-C")</f>
        <v>02-318692-C</v>
      </c>
      <c r="B8705" s="8" t="s">
        <v>8661</v>
      </c>
    </row>
    <row r="8706" spans="1:2" x14ac:dyDescent="0.3">
      <c r="A8706" s="5" t="str">
        <f>HYPERLINK("http://www.eatonpowersource.com/products/configure/motors/details/02-346570-c","02-346570-C")</f>
        <v>02-346570-C</v>
      </c>
      <c r="B8706" s="6" t="s">
        <v>8662</v>
      </c>
    </row>
    <row r="8707" spans="1:2" x14ac:dyDescent="0.3">
      <c r="A8707" s="7" t="str">
        <f>HYPERLINK("http://www.eatonpowersource.com/products/configure/motors/details/308821-c","308821-C")</f>
        <v>308821-C</v>
      </c>
      <c r="B8707" s="8" t="s">
        <v>8663</v>
      </c>
    </row>
    <row r="8708" spans="1:2" x14ac:dyDescent="0.3">
      <c r="A8708" s="5" t="str">
        <f>HYPERLINK("http://www.eatonpowersource.com/products/configure/motors/details/308835-c","308835-C")</f>
        <v>308835-C</v>
      </c>
      <c r="B8708" s="6" t="s">
        <v>8664</v>
      </c>
    </row>
    <row r="8709" spans="1:2" x14ac:dyDescent="0.3">
      <c r="A8709" s="7" t="str">
        <f>HYPERLINK("http://www.eatonpowersource.com/products/configure/motors/details/308836-c","308836-C")</f>
        <v>308836-C</v>
      </c>
      <c r="B8709" s="8" t="s">
        <v>8665</v>
      </c>
    </row>
    <row r="8710" spans="1:2" x14ac:dyDescent="0.3">
      <c r="A8710" s="5" t="str">
        <f>HYPERLINK("http://www.eatonpowersource.com/products/configure/motors/details/308837-c","308837-C")</f>
        <v>308837-C</v>
      </c>
      <c r="B8710" s="6" t="s">
        <v>8666</v>
      </c>
    </row>
    <row r="8711" spans="1:2" x14ac:dyDescent="0.3">
      <c r="A8711" s="7" t="str">
        <f>HYPERLINK("http://www.eatonpowersource.com/products/configure/motors/details/308840-a","308840-A")</f>
        <v>308840-A</v>
      </c>
      <c r="B8711" s="8" t="s">
        <v>8667</v>
      </c>
    </row>
    <row r="8712" spans="1:2" x14ac:dyDescent="0.3">
      <c r="A8712" s="5" t="str">
        <f>HYPERLINK("http://www.eatonpowersource.com/products/configure/motors/details/309398-a","309398-A")</f>
        <v>309398-A</v>
      </c>
      <c r="B8712" s="6" t="s">
        <v>8668</v>
      </c>
    </row>
    <row r="8713" spans="1:2" x14ac:dyDescent="0.3">
      <c r="A8713" s="7" t="str">
        <f>HYPERLINK("http://www.eatonpowersource.com/products/configure/motors/details/309418-c","309418-C")</f>
        <v>309418-C</v>
      </c>
      <c r="B8713" s="8" t="s">
        <v>8669</v>
      </c>
    </row>
    <row r="8714" spans="1:2" x14ac:dyDescent="0.3">
      <c r="A8714" s="5" t="str">
        <f>HYPERLINK("http://www.eatonpowersource.com/products/configure/motors/details/309419-a","309419-A")</f>
        <v>309419-A</v>
      </c>
      <c r="B8714" s="6" t="s">
        <v>8670</v>
      </c>
    </row>
    <row r="8715" spans="1:2" x14ac:dyDescent="0.3">
      <c r="A8715" s="7" t="str">
        <f>HYPERLINK("http://www.eatonpowersource.com/products/configure/motors/details/309419-c","309419-C")</f>
        <v>309419-C</v>
      </c>
      <c r="B8715" s="8" t="s">
        <v>8671</v>
      </c>
    </row>
    <row r="8716" spans="1:2" x14ac:dyDescent="0.3">
      <c r="A8716" s="5" t="str">
        <f>HYPERLINK("http://www.eatonpowersource.com/products/configure/motors/details/310886-c","310886-C")</f>
        <v>310886-C</v>
      </c>
      <c r="B8716" s="6" t="s">
        <v>8672</v>
      </c>
    </row>
    <row r="8717" spans="1:2" x14ac:dyDescent="0.3">
      <c r="A8717" s="7" t="str">
        <f>HYPERLINK("http://www.eatonpowersource.com/products/configure/motors/details/312062-c","312062-C")</f>
        <v>312062-C</v>
      </c>
      <c r="B8717" s="8" t="s">
        <v>8673</v>
      </c>
    </row>
    <row r="8718" spans="1:2" x14ac:dyDescent="0.3">
      <c r="A8718" s="5" t="str">
        <f>HYPERLINK("http://www.eatonpowersource.com/products/configure/motors/details/312063-c","312063-C")</f>
        <v>312063-C</v>
      </c>
      <c r="B8718" s="6" t="s">
        <v>8674</v>
      </c>
    </row>
    <row r="8719" spans="1:2" x14ac:dyDescent="0.3">
      <c r="A8719" s="7" t="str">
        <f>HYPERLINK("http://www.eatonpowersource.com/products/configure/motors/details/312065-c","312065-C")</f>
        <v>312065-C</v>
      </c>
      <c r="B8719" s="8" t="s">
        <v>8675</v>
      </c>
    </row>
    <row r="8720" spans="1:2" x14ac:dyDescent="0.3">
      <c r="A8720" s="5" t="str">
        <f>HYPERLINK("http://www.eatonpowersource.com/products/configure/motors/details/312072-c","312072-C")</f>
        <v>312072-C</v>
      </c>
      <c r="B8720" s="6" t="s">
        <v>8676</v>
      </c>
    </row>
    <row r="8721" spans="1:2" x14ac:dyDescent="0.3">
      <c r="A8721" s="7" t="str">
        <f>HYPERLINK("http://www.eatonpowersource.com/products/configure/motors/details/313457-c","313457-C")</f>
        <v>313457-C</v>
      </c>
      <c r="B8721" s="8" t="s">
        <v>8677</v>
      </c>
    </row>
    <row r="8722" spans="1:2" x14ac:dyDescent="0.3">
      <c r="A8722" s="5" t="str">
        <f>HYPERLINK("http://www.eatonpowersource.com/products/configure/motors/details/313459-c","313459-C")</f>
        <v>313459-C</v>
      </c>
      <c r="B8722" s="6" t="s">
        <v>8678</v>
      </c>
    </row>
    <row r="8723" spans="1:2" x14ac:dyDescent="0.3">
      <c r="A8723" s="7" t="str">
        <f>HYPERLINK("http://www.eatonpowersource.com/products/configure/motors/details/313463-c","313463-C")</f>
        <v>313463-C</v>
      </c>
      <c r="B8723" s="8" t="s">
        <v>8679</v>
      </c>
    </row>
    <row r="8724" spans="1:2" x14ac:dyDescent="0.3">
      <c r="A8724" s="5" t="str">
        <f>HYPERLINK("http://www.eatonpowersource.com/products/configure/motors/details/313472-c","313472-C")</f>
        <v>313472-C</v>
      </c>
      <c r="B8724" s="6" t="s">
        <v>8680</v>
      </c>
    </row>
    <row r="8725" spans="1:2" x14ac:dyDescent="0.3">
      <c r="A8725" s="7" t="str">
        <f>HYPERLINK("http://www.eatonpowersource.com/products/configure/motors/details/316059-c","316059-C")</f>
        <v>316059-C</v>
      </c>
      <c r="B8725" s="8" t="s">
        <v>8681</v>
      </c>
    </row>
    <row r="8726" spans="1:2" x14ac:dyDescent="0.3">
      <c r="A8726" s="5" t="str">
        <f>HYPERLINK("http://www.eatonpowersource.com/products/configure/motors/details/317274-c","317274-C")</f>
        <v>317274-C</v>
      </c>
      <c r="B8726" s="6" t="s">
        <v>8682</v>
      </c>
    </row>
    <row r="8727" spans="1:2" x14ac:dyDescent="0.3">
      <c r="A8727" s="7" t="str">
        <f>HYPERLINK("http://www.eatonpowersource.com/products/configure/motors/details/318844-c","318844-C")</f>
        <v>318844-C</v>
      </c>
      <c r="B8727" s="8" t="s">
        <v>8683</v>
      </c>
    </row>
    <row r="8728" spans="1:2" x14ac:dyDescent="0.3">
      <c r="A8728" s="5" t="str">
        <f>HYPERLINK("http://www.eatonpowersource.com/products/configure/motors/details/322446-c","322446-C")</f>
        <v>322446-C</v>
      </c>
      <c r="B8728" s="6" t="s">
        <v>8684</v>
      </c>
    </row>
    <row r="8729" spans="1:2" x14ac:dyDescent="0.3">
      <c r="A8729" s="7" t="str">
        <f>HYPERLINK("http://www.eatonpowersource.com/products/configure/motors/details/322470-c","322470-C")</f>
        <v>322470-C</v>
      </c>
      <c r="B8729" s="8" t="s">
        <v>8685</v>
      </c>
    </row>
    <row r="8730" spans="1:2" x14ac:dyDescent="0.3">
      <c r="A8730" s="5" t="str">
        <f>HYPERLINK("http://www.eatonpowersource.com/products/configure/motors/details/327602-c","327602-C")</f>
        <v>327602-C</v>
      </c>
      <c r="B8730" s="6" t="s">
        <v>8686</v>
      </c>
    </row>
    <row r="8731" spans="1:2" x14ac:dyDescent="0.3">
      <c r="A8731" s="7" t="str">
        <f>HYPERLINK("http://www.eatonpowersource.com/products/configure/motors/details/327626-c","327626-C")</f>
        <v>327626-C</v>
      </c>
      <c r="B8731" s="8" t="s">
        <v>8687</v>
      </c>
    </row>
    <row r="8732" spans="1:2" x14ac:dyDescent="0.3">
      <c r="A8732" s="5" t="str">
        <f>HYPERLINK("http://www.eatonpowersource.com/products/configure/motors/details/327627-a","327627-A")</f>
        <v>327627-A</v>
      </c>
      <c r="B8732" s="6" t="s">
        <v>8688</v>
      </c>
    </row>
    <row r="8733" spans="1:2" x14ac:dyDescent="0.3">
      <c r="A8733" s="7" t="str">
        <f>HYPERLINK("http://www.eatonpowersource.com/products/configure/motors/details/327627-c","327627-C")</f>
        <v>327627-C</v>
      </c>
      <c r="B8733" s="8" t="s">
        <v>8689</v>
      </c>
    </row>
    <row r="8734" spans="1:2" x14ac:dyDescent="0.3">
      <c r="A8734" s="5" t="str">
        <f>HYPERLINK("http://www.eatonpowersource.com/products/configure/motors/details/341996-c","341996-C")</f>
        <v>341996-C</v>
      </c>
      <c r="B8734" s="6" t="s">
        <v>8690</v>
      </c>
    </row>
    <row r="8735" spans="1:2" x14ac:dyDescent="0.3">
      <c r="A8735" s="7" t="str">
        <f>HYPERLINK("http://www.eatonpowersource.com/products/configure/motors/details/346686-c","346686-C")</f>
        <v>346686-C</v>
      </c>
      <c r="B8735" s="8" t="s">
        <v>8691</v>
      </c>
    </row>
    <row r="8736" spans="1:2" x14ac:dyDescent="0.3">
      <c r="A8736" s="5" t="str">
        <f>HYPERLINK("http://www.eatonpowersource.com/products/configure/motors/details/346691-c","346691-C")</f>
        <v>346691-C</v>
      </c>
      <c r="B8736" s="6" t="s">
        <v>8692</v>
      </c>
    </row>
    <row r="8737" spans="1:2" x14ac:dyDescent="0.3">
      <c r="A8737" s="7" t="str">
        <f>HYPERLINK("http://www.eatonpowersource.com/products/configure/motors/details/355161-c","355161-C")</f>
        <v>355161-C</v>
      </c>
      <c r="B8737" s="8" t="s">
        <v>8693</v>
      </c>
    </row>
    <row r="8738" spans="1:2" x14ac:dyDescent="0.3">
      <c r="A8738" s="5" t="str">
        <f>HYPERLINK("http://www.eatonpowersource.com/products/configure/motors/details/361158-a","361158-A")</f>
        <v>361158-A</v>
      </c>
      <c r="B8738" s="6" t="s">
        <v>8694</v>
      </c>
    </row>
    <row r="8739" spans="1:2" x14ac:dyDescent="0.3">
      <c r="A8739" s="7" t="str">
        <f>HYPERLINK("http://www.eatonpowersource.com/products/configure/motors/details/361158-c","361158-C")</f>
        <v>361158-C</v>
      </c>
      <c r="B8739" s="8" t="s">
        <v>8695</v>
      </c>
    </row>
    <row r="8740" spans="1:2" x14ac:dyDescent="0.3">
      <c r="A8740" s="5" t="str">
        <f>HYPERLINK("http://www.eatonpowersource.com/products/configure/motors/details/361166-a","361166-A")</f>
        <v>361166-A</v>
      </c>
      <c r="B8740" s="6" t="s">
        <v>8696</v>
      </c>
    </row>
    <row r="8741" spans="1:2" x14ac:dyDescent="0.3">
      <c r="A8741" s="7" t="str">
        <f>HYPERLINK("http://www.eatonpowersource.com/products/configure/motors/details/361166-c","361166-C")</f>
        <v>361166-C</v>
      </c>
      <c r="B8741" s="8" t="s">
        <v>8697</v>
      </c>
    </row>
    <row r="8742" spans="1:2" x14ac:dyDescent="0.3">
      <c r="A8742" s="5" t="str">
        <f>HYPERLINK("http://www.eatonpowersource.com/products/configure/motors/details/361173-c","361173-C")</f>
        <v>361173-C</v>
      </c>
      <c r="B8742" s="6" t="s">
        <v>8698</v>
      </c>
    </row>
    <row r="8743" spans="1:2" x14ac:dyDescent="0.3">
      <c r="A8743" s="7" t="str">
        <f>HYPERLINK("http://www.eatonpowersource.com/products/configure/motors/details/361184-c","361184-C")</f>
        <v>361184-C</v>
      </c>
      <c r="B8743" s="8" t="s">
        <v>8699</v>
      </c>
    </row>
    <row r="8744" spans="1:2" x14ac:dyDescent="0.3">
      <c r="A8744" s="5" t="str">
        <f>HYPERLINK("http://www.eatonpowersource.com/products/configure/motors/details/373152-c","373152-C")</f>
        <v>373152-C</v>
      </c>
      <c r="B8744" s="6" t="s">
        <v>8700</v>
      </c>
    </row>
    <row r="8745" spans="1:2" x14ac:dyDescent="0.3">
      <c r="A8745" s="7" t="str">
        <f>HYPERLINK("http://www.eatonpowersource.com/products/configure/motors/details/373154-c","373154-C")</f>
        <v>373154-C</v>
      </c>
      <c r="B8745" s="8" t="s">
        <v>8701</v>
      </c>
    </row>
    <row r="8746" spans="1:2" x14ac:dyDescent="0.3">
      <c r="A8746" s="5" t="str">
        <f>HYPERLINK("http://www.eatonpowersource.com/products/configure/motors/details/373164-c","373164-C")</f>
        <v>373164-C</v>
      </c>
      <c r="B8746" s="6" t="s">
        <v>8702</v>
      </c>
    </row>
    <row r="8747" spans="1:2" x14ac:dyDescent="0.3">
      <c r="A8747" s="7" t="str">
        <f>HYPERLINK("http://www.eatonpowersource.com/products/configure/motors/details/373168-c","373168-C")</f>
        <v>373168-C</v>
      </c>
      <c r="B8747" s="8" t="s">
        <v>8703</v>
      </c>
    </row>
    <row r="8748" spans="1:2" x14ac:dyDescent="0.3">
      <c r="A8748" s="5" t="str">
        <f>HYPERLINK("http://www.eatonpowersource.com/products/configure/motors/details/381995-c","381995-C")</f>
        <v>381995-C</v>
      </c>
      <c r="B8748" s="6" t="s">
        <v>8704</v>
      </c>
    </row>
    <row r="8749" spans="1:2" x14ac:dyDescent="0.3">
      <c r="A8749" s="7" t="str">
        <f>HYPERLINK("http://www.eatonpowersource.com/products/configure/motors/details/407455-c","407455-C")</f>
        <v>407455-C</v>
      </c>
      <c r="B8749" s="8" t="s">
        <v>8705</v>
      </c>
    </row>
    <row r="8750" spans="1:2" x14ac:dyDescent="0.3">
      <c r="A8750" s="5" t="str">
        <f>HYPERLINK("http://www.eatonpowersource.com/products/configure/motors/details/574996-c","574996-C")</f>
        <v>574996-C</v>
      </c>
      <c r="B8750" s="6" t="s">
        <v>8706</v>
      </c>
    </row>
    <row r="8751" spans="1:2" x14ac:dyDescent="0.3">
      <c r="A8751" s="7" t="str">
        <f>HYPERLINK("http://www.eatonpowersource.com/products/configure/motors/details/574997-c","574997-C")</f>
        <v>574997-C</v>
      </c>
      <c r="B8751" s="8" t="s">
        <v>8707</v>
      </c>
    </row>
    <row r="8752" spans="1:2" x14ac:dyDescent="0.3">
      <c r="A8752" s="5" t="str">
        <f>HYPERLINK("http://www.eatonpowersource.com/products/configure/motors/details/729ar00001a","729AR00001A")</f>
        <v>729AR00001A</v>
      </c>
      <c r="B8752" s="6" t="s">
        <v>8708</v>
      </c>
    </row>
    <row r="8753" spans="1:2" x14ac:dyDescent="0.3">
      <c r="A8753" s="7" t="str">
        <f>HYPERLINK("http://www.eatonpowersource.com/products/configure/motors/details/876137-c","876137-C")</f>
        <v>876137-C</v>
      </c>
      <c r="B8753" s="8" t="s">
        <v>8709</v>
      </c>
    </row>
    <row r="8754" spans="1:2" x14ac:dyDescent="0.3">
      <c r="A8754" s="5" t="str">
        <f>HYPERLINK("http://www.eatonpowersource.com/products/configure/motors/details/876376-c","876376-C")</f>
        <v>876376-C</v>
      </c>
      <c r="B8754" s="6" t="s">
        <v>8710</v>
      </c>
    </row>
    <row r="8755" spans="1:2" x14ac:dyDescent="0.3">
      <c r="A8755" s="7" t="str">
        <f>HYPERLINK("http://www.eatonpowersource.com/products/details/02-102506","02-102506")</f>
        <v>02-102506</v>
      </c>
      <c r="B8755" s="8" t="s">
        <v>8711</v>
      </c>
    </row>
    <row r="8756" spans="1:2" x14ac:dyDescent="0.3">
      <c r="A8756" s="5" t="str">
        <f>HYPERLINK("http://www.eatonpowersource.com/products/details/02-102507","02-102507")</f>
        <v>02-102507</v>
      </c>
      <c r="B8756" s="6" t="s">
        <v>8712</v>
      </c>
    </row>
    <row r="8757" spans="1:2" x14ac:dyDescent="0.3">
      <c r="A8757" s="7" t="str">
        <f>HYPERLINK("http://www.eatonpowersource.com/products/details/02-102508","02-102508")</f>
        <v>02-102508</v>
      </c>
      <c r="B8757" s="8" t="s">
        <v>8713</v>
      </c>
    </row>
    <row r="8758" spans="1:2" x14ac:dyDescent="0.3">
      <c r="A8758" s="5" t="str">
        <f>HYPERLINK("http://www.eatonpowersource.com/products/details/02-102509","02-102509")</f>
        <v>02-102509</v>
      </c>
      <c r="B8758" s="6" t="s">
        <v>8714</v>
      </c>
    </row>
    <row r="8759" spans="1:2" x14ac:dyDescent="0.3">
      <c r="A8759" s="7" t="str">
        <f>HYPERLINK("http://www.eatonpowersource.com/products/details/02-102510","02-102510")</f>
        <v>02-102510</v>
      </c>
      <c r="B8759" s="8" t="s">
        <v>8715</v>
      </c>
    </row>
    <row r="8760" spans="1:2" x14ac:dyDescent="0.3">
      <c r="A8760" s="5" t="str">
        <f>HYPERLINK("http://www.eatonpowersource.com/products/details/02-102511","02-102511")</f>
        <v>02-102511</v>
      </c>
      <c r="B8760" s="6" t="s">
        <v>8716</v>
      </c>
    </row>
    <row r="8761" spans="1:2" x14ac:dyDescent="0.3">
      <c r="A8761" s="7" t="str">
        <f>HYPERLINK("http://www.eatonpowersource.com/products/details/02-102513","02-102513")</f>
        <v>02-102513</v>
      </c>
      <c r="B8761" s="8" t="s">
        <v>8717</v>
      </c>
    </row>
    <row r="8762" spans="1:2" x14ac:dyDescent="0.3">
      <c r="A8762" s="5" t="str">
        <f>HYPERLINK("http://www.eatonpowersource.com/products/details/02-102514","02-102514")</f>
        <v>02-102514</v>
      </c>
      <c r="B8762" s="6" t="s">
        <v>8718</v>
      </c>
    </row>
    <row r="8763" spans="1:2" x14ac:dyDescent="0.3">
      <c r="A8763" s="7" t="str">
        <f>HYPERLINK("http://www.eatonpowersource.com/products/details/02-102518","02-102518")</f>
        <v>02-102518</v>
      </c>
      <c r="B8763" s="8" t="s">
        <v>8719</v>
      </c>
    </row>
    <row r="8764" spans="1:2" x14ac:dyDescent="0.3">
      <c r="A8764" s="5" t="str">
        <f>HYPERLINK("http://www.eatonpowersource.com/products/details/02-102519","02-102519")</f>
        <v>02-102519</v>
      </c>
      <c r="B8764" s="6" t="s">
        <v>8720</v>
      </c>
    </row>
    <row r="8765" spans="1:2" x14ac:dyDescent="0.3">
      <c r="A8765" s="7" t="str">
        <f>HYPERLINK("http://www.eatonpowersource.com/products/details/02-102520","02-102520")</f>
        <v>02-102520</v>
      </c>
      <c r="B8765" s="8" t="s">
        <v>8721</v>
      </c>
    </row>
    <row r="8766" spans="1:2" x14ac:dyDescent="0.3">
      <c r="A8766" s="5" t="str">
        <f>HYPERLINK("http://www.eatonpowersource.com/products/details/02-102521","02-102521")</f>
        <v>02-102521</v>
      </c>
      <c r="B8766" s="6" t="s">
        <v>8722</v>
      </c>
    </row>
    <row r="8767" spans="1:2" x14ac:dyDescent="0.3">
      <c r="A8767" s="7" t="str">
        <f>HYPERLINK("http://www.eatonpowersource.com/products/details/02-102522","02-102522")</f>
        <v>02-102522</v>
      </c>
      <c r="B8767" s="8" t="s">
        <v>8723</v>
      </c>
    </row>
    <row r="8768" spans="1:2" x14ac:dyDescent="0.3">
      <c r="A8768" s="5" t="str">
        <f>HYPERLINK("http://www.eatonpowersource.com/products/details/02-102525","02-102525")</f>
        <v>02-102525</v>
      </c>
      <c r="B8768" s="6" t="s">
        <v>8724</v>
      </c>
    </row>
    <row r="8769" spans="1:2" x14ac:dyDescent="0.3">
      <c r="A8769" s="7" t="str">
        <f>HYPERLINK("http://www.eatonpowersource.com/products/details/02-102531","02-102531")</f>
        <v>02-102531</v>
      </c>
      <c r="B8769" s="8" t="s">
        <v>8725</v>
      </c>
    </row>
    <row r="8770" spans="1:2" x14ac:dyDescent="0.3">
      <c r="A8770" s="5" t="str">
        <f>HYPERLINK("http://www.eatonpowersource.com/products/details/02-102532","02-102532")</f>
        <v>02-102532</v>
      </c>
      <c r="B8770" s="6" t="s">
        <v>8726</v>
      </c>
    </row>
    <row r="8771" spans="1:2" x14ac:dyDescent="0.3">
      <c r="A8771" s="7" t="str">
        <f>HYPERLINK("http://www.eatonpowersource.com/products/details/02-102533","02-102533")</f>
        <v>02-102533</v>
      </c>
      <c r="B8771" s="8" t="s">
        <v>8727</v>
      </c>
    </row>
    <row r="8772" spans="1:2" x14ac:dyDescent="0.3">
      <c r="A8772" s="5" t="str">
        <f>HYPERLINK("http://www.eatonpowersource.com/products/details/02-102534","02-102534")</f>
        <v>02-102534</v>
      </c>
      <c r="B8772" s="6" t="s">
        <v>8728</v>
      </c>
    </row>
    <row r="8773" spans="1:2" x14ac:dyDescent="0.3">
      <c r="A8773" s="7" t="str">
        <f>HYPERLINK("http://www.eatonpowersource.com/products/details/02-102535","02-102535")</f>
        <v>02-102535</v>
      </c>
      <c r="B8773" s="8" t="s">
        <v>8729</v>
      </c>
    </row>
    <row r="8774" spans="1:2" x14ac:dyDescent="0.3">
      <c r="A8774" s="5" t="str">
        <f>HYPERLINK("http://www.eatonpowersource.com/products/details/02-102536","02-102536")</f>
        <v>02-102536</v>
      </c>
      <c r="B8774" s="6" t="s">
        <v>8730</v>
      </c>
    </row>
    <row r="8775" spans="1:2" x14ac:dyDescent="0.3">
      <c r="A8775" s="7" t="str">
        <f>HYPERLINK("http://www.eatonpowersource.com/products/details/02-102537","02-102537")</f>
        <v>02-102537</v>
      </c>
      <c r="B8775" s="8" t="s">
        <v>8731</v>
      </c>
    </row>
    <row r="8776" spans="1:2" x14ac:dyDescent="0.3">
      <c r="A8776" s="5" t="str">
        <f>HYPERLINK("http://www.eatonpowersource.com/products/details/02-102538","02-102538")</f>
        <v>02-102538</v>
      </c>
      <c r="B8776" s="6" t="s">
        <v>8732</v>
      </c>
    </row>
    <row r="8777" spans="1:2" x14ac:dyDescent="0.3">
      <c r="A8777" s="7" t="str">
        <f>HYPERLINK("http://www.eatonpowersource.com/products/details/02-102539","02-102539")</f>
        <v>02-102539</v>
      </c>
      <c r="B8777" s="8" t="s">
        <v>8733</v>
      </c>
    </row>
    <row r="8778" spans="1:2" x14ac:dyDescent="0.3">
      <c r="A8778" s="5" t="str">
        <f>HYPERLINK("http://www.eatonpowersource.com/products/details/02-102543","02-102543")</f>
        <v>02-102543</v>
      </c>
      <c r="B8778" s="6" t="s">
        <v>8734</v>
      </c>
    </row>
    <row r="8779" spans="1:2" x14ac:dyDescent="0.3">
      <c r="A8779" s="7" t="str">
        <f>HYPERLINK("http://www.eatonpowersource.com/products/details/02-102552","02-102552")</f>
        <v>02-102552</v>
      </c>
      <c r="B8779" s="8" t="s">
        <v>8735</v>
      </c>
    </row>
    <row r="8780" spans="1:2" x14ac:dyDescent="0.3">
      <c r="A8780" s="5" t="str">
        <f>HYPERLINK("http://www.eatonpowersource.com/products/details/02-102553","02-102553")</f>
        <v>02-102553</v>
      </c>
      <c r="B8780" s="6" t="s">
        <v>8736</v>
      </c>
    </row>
    <row r="8781" spans="1:2" x14ac:dyDescent="0.3">
      <c r="A8781" s="7" t="str">
        <f>HYPERLINK("http://www.eatonpowersource.com/products/details/02-102554","02-102554")</f>
        <v>02-102554</v>
      </c>
      <c r="B8781" s="8" t="s">
        <v>8737</v>
      </c>
    </row>
    <row r="8782" spans="1:2" x14ac:dyDescent="0.3">
      <c r="A8782" s="5" t="str">
        <f>HYPERLINK("http://www.eatonpowersource.com/products/details/02-102555","02-102555")</f>
        <v>02-102555</v>
      </c>
      <c r="B8782" s="6" t="s">
        <v>8738</v>
      </c>
    </row>
    <row r="8783" spans="1:2" x14ac:dyDescent="0.3">
      <c r="A8783" s="7" t="str">
        <f>HYPERLINK("http://www.eatonpowersource.com/products/details/02-102556","02-102556")</f>
        <v>02-102556</v>
      </c>
      <c r="B8783" s="8" t="s">
        <v>8739</v>
      </c>
    </row>
    <row r="8784" spans="1:2" x14ac:dyDescent="0.3">
      <c r="A8784" s="5" t="str">
        <f>HYPERLINK("http://www.eatonpowersource.com/products/details/02-102557","02-102557")</f>
        <v>02-102557</v>
      </c>
      <c r="B8784" s="6" t="s">
        <v>8740</v>
      </c>
    </row>
    <row r="8785" spans="1:2" x14ac:dyDescent="0.3">
      <c r="A8785" s="7" t="str">
        <f>HYPERLINK("http://www.eatonpowersource.com/products/details/02-102558","02-102558")</f>
        <v>02-102558</v>
      </c>
      <c r="B8785" s="8" t="s">
        <v>8741</v>
      </c>
    </row>
    <row r="8786" spans="1:2" x14ac:dyDescent="0.3">
      <c r="A8786" s="5" t="str">
        <f>HYPERLINK("http://www.eatonpowersource.com/products/details/02-102559","02-102559")</f>
        <v>02-102559</v>
      </c>
      <c r="B8786" s="6" t="s">
        <v>8742</v>
      </c>
    </row>
    <row r="8787" spans="1:2" x14ac:dyDescent="0.3">
      <c r="A8787" s="7" t="str">
        <f>HYPERLINK("http://www.eatonpowersource.com/products/details/02-102559-l","02-102559-L")</f>
        <v>02-102559-L</v>
      </c>
      <c r="B8787" s="8" t="s">
        <v>8743</v>
      </c>
    </row>
    <row r="8788" spans="1:2" x14ac:dyDescent="0.3">
      <c r="A8788" s="5" t="str">
        <f>HYPERLINK("http://www.eatonpowersource.com/products/details/02-102566","02-102566")</f>
        <v>02-102566</v>
      </c>
      <c r="B8788" s="6" t="s">
        <v>8744</v>
      </c>
    </row>
    <row r="8789" spans="1:2" x14ac:dyDescent="0.3">
      <c r="A8789" s="7" t="str">
        <f>HYPERLINK("http://www.eatonpowersource.com/products/details/02-102572","02-102572")</f>
        <v>02-102572</v>
      </c>
      <c r="B8789" s="8" t="s">
        <v>8745</v>
      </c>
    </row>
    <row r="8790" spans="1:2" x14ac:dyDescent="0.3">
      <c r="A8790" s="5" t="str">
        <f>HYPERLINK("http://www.eatonpowersource.com/products/details/02-102573","02-102573")</f>
        <v>02-102573</v>
      </c>
      <c r="B8790" s="6" t="s">
        <v>8746</v>
      </c>
    </row>
    <row r="8791" spans="1:2" x14ac:dyDescent="0.3">
      <c r="A8791" s="7" t="str">
        <f>HYPERLINK("http://www.eatonpowersource.com/products/details/02-102574","02-102574")</f>
        <v>02-102574</v>
      </c>
      <c r="B8791" s="8" t="s">
        <v>8747</v>
      </c>
    </row>
    <row r="8792" spans="1:2" x14ac:dyDescent="0.3">
      <c r="A8792" s="5" t="str">
        <f>HYPERLINK("http://www.eatonpowersource.com/products/details/02-102575","02-102575")</f>
        <v>02-102575</v>
      </c>
      <c r="B8792" s="6" t="s">
        <v>8748</v>
      </c>
    </row>
    <row r="8793" spans="1:2" x14ac:dyDescent="0.3">
      <c r="A8793" s="7" t="str">
        <f>HYPERLINK("http://www.eatonpowersource.com/products/details/02-102575-l","02-102575-L")</f>
        <v>02-102575-L</v>
      </c>
      <c r="B8793" s="8" t="s">
        <v>8749</v>
      </c>
    </row>
    <row r="8794" spans="1:2" x14ac:dyDescent="0.3">
      <c r="A8794" s="5" t="str">
        <f>HYPERLINK("http://www.eatonpowersource.com/products/details/02-102576","02-102576")</f>
        <v>02-102576</v>
      </c>
      <c r="B8794" s="6" t="s">
        <v>8750</v>
      </c>
    </row>
    <row r="8795" spans="1:2" x14ac:dyDescent="0.3">
      <c r="A8795" s="7" t="str">
        <f>HYPERLINK("http://www.eatonpowersource.com/products/details/02-102577","02-102577")</f>
        <v>02-102577</v>
      </c>
      <c r="B8795" s="8" t="s">
        <v>8751</v>
      </c>
    </row>
    <row r="8796" spans="1:2" x14ac:dyDescent="0.3">
      <c r="A8796" s="5" t="str">
        <f>HYPERLINK("http://www.eatonpowersource.com/products/details/02-102746","02-102746")</f>
        <v>02-102746</v>
      </c>
      <c r="B8796" s="6" t="s">
        <v>8752</v>
      </c>
    </row>
    <row r="8797" spans="1:2" x14ac:dyDescent="0.3">
      <c r="A8797" s="7" t="str">
        <f>HYPERLINK("http://www.eatonpowersource.com/products/details/02-102775","02-102775")</f>
        <v>02-102775</v>
      </c>
      <c r="B8797" s="8" t="s">
        <v>8753</v>
      </c>
    </row>
    <row r="8798" spans="1:2" x14ac:dyDescent="0.3">
      <c r="A8798" s="5" t="str">
        <f>HYPERLINK("http://www.eatonpowersource.com/products/details/02-137559","02-137559")</f>
        <v>02-137559</v>
      </c>
      <c r="B8798" s="6" t="s">
        <v>8754</v>
      </c>
    </row>
    <row r="8799" spans="1:2" x14ac:dyDescent="0.3">
      <c r="A8799" s="7" t="str">
        <f>HYPERLINK("http://www.eatonpowersource.com/products/details/02-137560","02-137560")</f>
        <v>02-137560</v>
      </c>
      <c r="B8799" s="8" t="s">
        <v>8755</v>
      </c>
    </row>
    <row r="8800" spans="1:2" x14ac:dyDescent="0.3">
      <c r="A8800" s="5" t="str">
        <f>HYPERLINK("http://www.eatonpowersource.com/products/details/02-137561","02-137561")</f>
        <v>02-137561</v>
      </c>
      <c r="B8800" s="6" t="s">
        <v>8756</v>
      </c>
    </row>
    <row r="8801" spans="1:2" x14ac:dyDescent="0.3">
      <c r="A8801" s="7" t="str">
        <f>HYPERLINK("http://www.eatonpowersource.com/products/details/02-137562","02-137562")</f>
        <v>02-137562</v>
      </c>
      <c r="B8801" s="8" t="s">
        <v>8757</v>
      </c>
    </row>
    <row r="8802" spans="1:2" x14ac:dyDescent="0.3">
      <c r="A8802" s="5" t="str">
        <f>HYPERLINK("http://www.eatonpowersource.com/products/details/02-137563","02-137563")</f>
        <v>02-137563</v>
      </c>
      <c r="B8802" s="6" t="s">
        <v>8758</v>
      </c>
    </row>
    <row r="8803" spans="1:2" x14ac:dyDescent="0.3">
      <c r="A8803" s="7" t="str">
        <f>HYPERLINK("http://www.eatonpowersource.com/products/details/02-137565","02-137565")</f>
        <v>02-137565</v>
      </c>
      <c r="B8803" s="8" t="s">
        <v>8759</v>
      </c>
    </row>
    <row r="8804" spans="1:2" x14ac:dyDescent="0.3">
      <c r="A8804" s="5" t="str">
        <f>HYPERLINK("http://www.eatonpowersource.com/products/details/02-137566","02-137566")</f>
        <v>02-137566</v>
      </c>
      <c r="B8804" s="6" t="s">
        <v>8760</v>
      </c>
    </row>
    <row r="8805" spans="1:2" x14ac:dyDescent="0.3">
      <c r="A8805" s="7" t="str">
        <f>HYPERLINK("http://www.eatonpowersource.com/products/details/02-137567","02-137567")</f>
        <v>02-137567</v>
      </c>
      <c r="B8805" s="8" t="s">
        <v>8761</v>
      </c>
    </row>
    <row r="8806" spans="1:2" x14ac:dyDescent="0.3">
      <c r="A8806" s="5" t="str">
        <f>HYPERLINK("http://www.eatonpowersource.com/products/details/02-137577","02-137577")</f>
        <v>02-137577</v>
      </c>
      <c r="B8806" s="6" t="s">
        <v>8762</v>
      </c>
    </row>
    <row r="8807" spans="1:2" x14ac:dyDescent="0.3">
      <c r="A8807" s="7" t="str">
        <f>HYPERLINK("http://www.eatonpowersource.com/products/details/02-141746","02-141746")</f>
        <v>02-141746</v>
      </c>
      <c r="B8807" s="8" t="s">
        <v>8763</v>
      </c>
    </row>
    <row r="8808" spans="1:2" x14ac:dyDescent="0.3">
      <c r="A8808" s="5" t="str">
        <f>HYPERLINK("http://www.eatonpowersource.com/products/details/02-142797","02-142797")</f>
        <v>02-142797</v>
      </c>
      <c r="B8808" s="6" t="s">
        <v>8764</v>
      </c>
    </row>
    <row r="8809" spans="1:2" x14ac:dyDescent="0.3">
      <c r="A8809" s="7" t="str">
        <f>HYPERLINK("http://www.eatonpowersource.com/products/details/02-142799","02-142799")</f>
        <v>02-142799</v>
      </c>
      <c r="B8809" s="8" t="s">
        <v>8765</v>
      </c>
    </row>
    <row r="8810" spans="1:2" x14ac:dyDescent="0.3">
      <c r="A8810" s="5" t="str">
        <f>HYPERLINK("http://www.eatonpowersource.com/products/details/02-152006","02-152006")</f>
        <v>02-152006</v>
      </c>
      <c r="B8810" s="6" t="s">
        <v>8766</v>
      </c>
    </row>
    <row r="8811" spans="1:2" x14ac:dyDescent="0.3">
      <c r="A8811" s="7" t="str">
        <f>HYPERLINK("http://www.eatonpowersource.com/products/details/02-152007","02-152007")</f>
        <v>02-152007</v>
      </c>
      <c r="B8811" s="8" t="s">
        <v>8767</v>
      </c>
    </row>
    <row r="8812" spans="1:2" x14ac:dyDescent="0.3">
      <c r="A8812" s="5" t="str">
        <f>HYPERLINK("http://www.eatonpowersource.com/products/details/02-152008","02-152008")</f>
        <v>02-152008</v>
      </c>
      <c r="B8812" s="6" t="s">
        <v>8768</v>
      </c>
    </row>
    <row r="8813" spans="1:2" x14ac:dyDescent="0.3">
      <c r="A8813" s="7" t="str">
        <f>HYPERLINK("http://www.eatonpowersource.com/products/details/02-152010","02-152010")</f>
        <v>02-152010</v>
      </c>
      <c r="B8813" s="8" t="s">
        <v>8769</v>
      </c>
    </row>
    <row r="8814" spans="1:2" x14ac:dyDescent="0.3">
      <c r="A8814" s="5" t="str">
        <f>HYPERLINK("http://www.eatonpowersource.com/products/details/02-152012","02-152012")</f>
        <v>02-152012</v>
      </c>
      <c r="B8814" s="6" t="s">
        <v>8770</v>
      </c>
    </row>
    <row r="8815" spans="1:2" x14ac:dyDescent="0.3">
      <c r="A8815" s="7" t="str">
        <f>HYPERLINK("http://www.eatonpowersource.com/products/details/02-322071","02-322071")</f>
        <v>02-322071</v>
      </c>
      <c r="B8815" s="8" t="s">
        <v>8771</v>
      </c>
    </row>
    <row r="8816" spans="1:2" x14ac:dyDescent="0.3">
      <c r="A8816" s="5" t="str">
        <f>HYPERLINK("http://www.eatonpowersource.com/products/details/02-341780","02-341780")</f>
        <v>02-341780</v>
      </c>
      <c r="B8816" s="6" t="s">
        <v>8772</v>
      </c>
    </row>
    <row r="8817" spans="1:2" x14ac:dyDescent="0.3">
      <c r="A8817" s="7" t="str">
        <f>HYPERLINK("http://www.eatonpowersource.com/products/details/243585","243585")</f>
        <v>243585</v>
      </c>
      <c r="B8817" s="8" t="s">
        <v>8773</v>
      </c>
    </row>
    <row r="8818" spans="1:2" x14ac:dyDescent="0.3">
      <c r="A8818" s="5" t="str">
        <f>HYPERLINK("http://www.eatonpowersource.com/products/details/413418","413418")</f>
        <v>413418</v>
      </c>
      <c r="B8818" s="6" t="s">
        <v>8774</v>
      </c>
    </row>
    <row r="8819" spans="1:2" x14ac:dyDescent="0.3">
      <c r="A8819" s="7" t="str">
        <f>HYPERLINK("http://www.eatonpowersource.com/products/details/413418-l","413418-L")</f>
        <v>413418-L</v>
      </c>
      <c r="B8819" s="8" t="s">
        <v>8775</v>
      </c>
    </row>
    <row r="8820" spans="1:2" x14ac:dyDescent="0.3">
      <c r="A8820" s="5" t="str">
        <f>HYPERLINK("http://www.eatonpowersource.com/products/details/413419","413419")</f>
        <v>413419</v>
      </c>
      <c r="B8820" s="6" t="s">
        <v>8776</v>
      </c>
    </row>
    <row r="8821" spans="1:2" x14ac:dyDescent="0.3">
      <c r="A8821" s="7" t="str">
        <f>HYPERLINK("http://www.eatonpowersource.com/products/details/413420","413420")</f>
        <v>413420</v>
      </c>
      <c r="B8821" s="8" t="s">
        <v>8777</v>
      </c>
    </row>
    <row r="8822" spans="1:2" x14ac:dyDescent="0.3">
      <c r="A8822" s="5" t="str">
        <f>HYPERLINK("http://www.eatonpowersource.com/products/details/413421","413421")</f>
        <v>413421</v>
      </c>
      <c r="B8822" s="6" t="s">
        <v>8778</v>
      </c>
    </row>
    <row r="8823" spans="1:2" x14ac:dyDescent="0.3">
      <c r="A8823" s="7" t="str">
        <f>HYPERLINK("http://www.eatonpowersource.com/products/details/413422","413422")</f>
        <v>413422</v>
      </c>
      <c r="B8823" s="8" t="s">
        <v>8779</v>
      </c>
    </row>
    <row r="8824" spans="1:2" x14ac:dyDescent="0.3">
      <c r="A8824" s="5" t="str">
        <f>HYPERLINK("http://www.eatonpowersource.com/products/details/413422-l","413422-L")</f>
        <v>413422-L</v>
      </c>
      <c r="B8824" s="6" t="s">
        <v>8779</v>
      </c>
    </row>
    <row r="8825" spans="1:2" x14ac:dyDescent="0.3">
      <c r="A8825" s="7" t="str">
        <f>HYPERLINK("http://www.eatonpowersource.com/products/details/416427","416427")</f>
        <v>416427</v>
      </c>
      <c r="B8825" s="8" t="s">
        <v>8780</v>
      </c>
    </row>
    <row r="8826" spans="1:2" x14ac:dyDescent="0.3">
      <c r="A8826" s="5" t="str">
        <f>HYPERLINK("http://www.eatonpowersource.com/products/details/416428","416428")</f>
        <v>416428</v>
      </c>
      <c r="B8826" s="6" t="s">
        <v>8781</v>
      </c>
    </row>
    <row r="8827" spans="1:2" x14ac:dyDescent="0.3">
      <c r="A8827" s="7" t="str">
        <f>HYPERLINK("http://www.eatonpowersource.com/products/details/416429","416429")</f>
        <v>416429</v>
      </c>
      <c r="B8827" s="8" t="s">
        <v>8782</v>
      </c>
    </row>
    <row r="8828" spans="1:2" x14ac:dyDescent="0.3">
      <c r="A8828" s="5" t="str">
        <f>HYPERLINK("http://www.eatonpowersource.com/products/details/416435","416435")</f>
        <v>416435</v>
      </c>
      <c r="B8828" s="6" t="s">
        <v>8783</v>
      </c>
    </row>
    <row r="8829" spans="1:2" x14ac:dyDescent="0.3">
      <c r="A8829" s="7" t="str">
        <f>HYPERLINK("http://www.eatonpowersource.com/products/details/416436","416436")</f>
        <v>416436</v>
      </c>
      <c r="B8829" s="8" t="s">
        <v>8784</v>
      </c>
    </row>
    <row r="8830" spans="1:2" x14ac:dyDescent="0.3">
      <c r="A8830" s="5" t="str">
        <f>HYPERLINK("http://www.eatonpowersource.com/products/details/416437","416437")</f>
        <v>416437</v>
      </c>
      <c r="B8830" s="6" t="s">
        <v>8785</v>
      </c>
    </row>
    <row r="8831" spans="1:2" x14ac:dyDescent="0.3">
      <c r="A8831" s="7" t="str">
        <f>HYPERLINK("http://www.eatonpowersource.com/products/details/416437-l","416437-L")</f>
        <v>416437-L</v>
      </c>
      <c r="B8831" s="8" t="s">
        <v>8785</v>
      </c>
    </row>
    <row r="8832" spans="1:2" x14ac:dyDescent="0.3">
      <c r="A8832" s="5" t="str">
        <f>HYPERLINK("http://www.eatonpowersource.com/products/details/416439","416439")</f>
        <v>416439</v>
      </c>
      <c r="B8832" s="6" t="s">
        <v>8786</v>
      </c>
    </row>
    <row r="8833" spans="1:2" x14ac:dyDescent="0.3">
      <c r="A8833" s="7" t="str">
        <f>HYPERLINK("http://www.eatonpowersource.com/products/details/416439-l","416439-L")</f>
        <v>416439-L</v>
      </c>
      <c r="B8833" s="8" t="s">
        <v>8787</v>
      </c>
    </row>
    <row r="8834" spans="1:2" x14ac:dyDescent="0.3">
      <c r="A8834" s="5" t="str">
        <f>HYPERLINK("http://www.eatonpowersource.com/products/details/416440","416440")</f>
        <v>416440</v>
      </c>
      <c r="B8834" s="6" t="s">
        <v>8788</v>
      </c>
    </row>
    <row r="8835" spans="1:2" x14ac:dyDescent="0.3">
      <c r="A8835" s="7" t="str">
        <f>HYPERLINK("http://www.eatonpowersource.com/products/details/416441","416441")</f>
        <v>416441</v>
      </c>
      <c r="B8835" s="8" t="s">
        <v>8789</v>
      </c>
    </row>
    <row r="8836" spans="1:2" x14ac:dyDescent="0.3">
      <c r="A8836" s="5" t="str">
        <f>HYPERLINK("http://www.eatonpowersource.com/products/details/416441-l","416441-L")</f>
        <v>416441-L</v>
      </c>
      <c r="B8836" s="6" t="s">
        <v>8790</v>
      </c>
    </row>
    <row r="8837" spans="1:2" x14ac:dyDescent="0.3">
      <c r="A8837" s="7" t="str">
        <f>HYPERLINK("http://www.eatonpowersource.com/products/details/416442","416442")</f>
        <v>416442</v>
      </c>
      <c r="B8837" s="8" t="s">
        <v>8791</v>
      </c>
    </row>
    <row r="8838" spans="1:2" x14ac:dyDescent="0.3">
      <c r="A8838" s="5" t="str">
        <f>HYPERLINK("http://www.eatonpowersource.com/products/details/416442-l","416442-L")</f>
        <v>416442-L</v>
      </c>
      <c r="B8838" s="6" t="s">
        <v>8792</v>
      </c>
    </row>
    <row r="8839" spans="1:2" x14ac:dyDescent="0.3">
      <c r="A8839" s="7" t="str">
        <f>HYPERLINK("http://www.eatonpowersource.com/products/details/416452","416452")</f>
        <v>416452</v>
      </c>
      <c r="B8839" s="8" t="s">
        <v>8793</v>
      </c>
    </row>
    <row r="8840" spans="1:2" x14ac:dyDescent="0.3">
      <c r="A8840" s="5" t="str">
        <f>HYPERLINK("http://www.eatonpowersource.com/products/details/417052","417052")</f>
        <v>417052</v>
      </c>
      <c r="B8840" s="6" t="s">
        <v>8794</v>
      </c>
    </row>
    <row r="8841" spans="1:2" x14ac:dyDescent="0.3">
      <c r="A8841" s="7" t="str">
        <f>HYPERLINK("http://www.eatonpowersource.com/products/details/417053","417053")</f>
        <v>417053</v>
      </c>
      <c r="B8841" s="8" t="s">
        <v>8795</v>
      </c>
    </row>
    <row r="8842" spans="1:2" x14ac:dyDescent="0.3">
      <c r="A8842" s="5" t="str">
        <f>HYPERLINK("http://www.eatonpowersource.com/products/details/417054","417054")</f>
        <v>417054</v>
      </c>
      <c r="B8842" s="6" t="s">
        <v>8796</v>
      </c>
    </row>
    <row r="8843" spans="1:2" x14ac:dyDescent="0.3">
      <c r="A8843" s="7" t="str">
        <f>HYPERLINK("http://www.eatonpowersource.com/products/details/417054-l","417054-L")</f>
        <v>417054-L</v>
      </c>
      <c r="B8843" s="8" t="s">
        <v>8796</v>
      </c>
    </row>
    <row r="8844" spans="1:2" x14ac:dyDescent="0.3">
      <c r="A8844" s="5" t="str">
        <f>HYPERLINK("http://www.eatonpowersource.com/products/details/419511","419511")</f>
        <v>419511</v>
      </c>
      <c r="B8844" s="6" t="s">
        <v>8797</v>
      </c>
    </row>
    <row r="8845" spans="1:2" x14ac:dyDescent="0.3">
      <c r="A8845" s="7" t="str">
        <f>HYPERLINK("http://www.eatonpowersource.com/products/details/421232","421232")</f>
        <v>421232</v>
      </c>
      <c r="B8845" s="8" t="s">
        <v>8798</v>
      </c>
    </row>
    <row r="8846" spans="1:2" x14ac:dyDescent="0.3">
      <c r="A8846" s="5" t="str">
        <f>HYPERLINK("http://www.eatonpowersource.com/products/details/421233","421233")</f>
        <v>421233</v>
      </c>
      <c r="B8846" s="6" t="s">
        <v>8799</v>
      </c>
    </row>
    <row r="8847" spans="1:2" x14ac:dyDescent="0.3">
      <c r="A8847" s="7" t="str">
        <f>HYPERLINK("http://www.eatonpowersource.com/products/details/421234","421234")</f>
        <v>421234</v>
      </c>
      <c r="B8847" s="8" t="s">
        <v>8800</v>
      </c>
    </row>
    <row r="8848" spans="1:2" x14ac:dyDescent="0.3">
      <c r="A8848" s="5" t="str">
        <f>HYPERLINK("http://www.eatonpowersource.com/products/details/421235","421235")</f>
        <v>421235</v>
      </c>
      <c r="B8848" s="6" t="s">
        <v>8801</v>
      </c>
    </row>
    <row r="8849" spans="1:2" x14ac:dyDescent="0.3">
      <c r="A8849" s="7" t="str">
        <f>HYPERLINK("http://www.eatonpowersource.com/products/details/421236","421236")</f>
        <v>421236</v>
      </c>
      <c r="B8849" s="8" t="s">
        <v>8789</v>
      </c>
    </row>
    <row r="8850" spans="1:2" x14ac:dyDescent="0.3">
      <c r="A8850" s="5" t="str">
        <f>HYPERLINK("http://www.eatonpowersource.com/products/details/421236-l","421236-L")</f>
        <v>421236-L</v>
      </c>
      <c r="B8850" s="6" t="s">
        <v>8802</v>
      </c>
    </row>
    <row r="8851" spans="1:2" x14ac:dyDescent="0.3">
      <c r="A8851" s="7" t="str">
        <f>HYPERLINK("http://www.eatonpowersource.com/products/details/421237","421237")</f>
        <v>421237</v>
      </c>
      <c r="B8851" s="8" t="s">
        <v>8803</v>
      </c>
    </row>
    <row r="8852" spans="1:2" x14ac:dyDescent="0.3">
      <c r="A8852" s="5" t="str">
        <f>HYPERLINK("http://www.eatonpowersource.com/products/details/421238","421238")</f>
        <v>421238</v>
      </c>
      <c r="B8852" s="6" t="s">
        <v>8804</v>
      </c>
    </row>
    <row r="8853" spans="1:2" x14ac:dyDescent="0.3">
      <c r="A8853" s="7" t="str">
        <f>HYPERLINK("http://www.eatonpowersource.com/products/details/421238-l","421238-L")</f>
        <v>421238-L</v>
      </c>
      <c r="B8853" s="8" t="s">
        <v>8804</v>
      </c>
    </row>
    <row r="8854" spans="1:2" x14ac:dyDescent="0.3">
      <c r="A8854" s="5" t="str">
        <f>HYPERLINK("http://www.eatonpowersource.com/products/details/421239","421239")</f>
        <v>421239</v>
      </c>
      <c r="B8854" s="6" t="s">
        <v>8805</v>
      </c>
    </row>
    <row r="8855" spans="1:2" x14ac:dyDescent="0.3">
      <c r="A8855" s="7" t="str">
        <f>HYPERLINK("http://www.eatonpowersource.com/products/details/421240","421240")</f>
        <v>421240</v>
      </c>
      <c r="B8855" s="8" t="s">
        <v>8806</v>
      </c>
    </row>
    <row r="8856" spans="1:2" x14ac:dyDescent="0.3">
      <c r="A8856" s="5" t="str">
        <f>HYPERLINK("http://www.eatonpowersource.com/products/details/421241","421241")</f>
        <v>421241</v>
      </c>
      <c r="B8856" s="6" t="s">
        <v>8807</v>
      </c>
    </row>
    <row r="8857" spans="1:2" x14ac:dyDescent="0.3">
      <c r="A8857" s="7" t="str">
        <f>HYPERLINK("http://www.eatonpowersource.com/products/details/421242","421242")</f>
        <v>421242</v>
      </c>
      <c r="B8857" s="8" t="s">
        <v>8808</v>
      </c>
    </row>
    <row r="8858" spans="1:2" x14ac:dyDescent="0.3">
      <c r="A8858" s="5" t="str">
        <f>HYPERLINK("http://www.eatonpowersource.com/products/details/421243","421243")</f>
        <v>421243</v>
      </c>
      <c r="B8858" s="6" t="s">
        <v>8809</v>
      </c>
    </row>
    <row r="8859" spans="1:2" x14ac:dyDescent="0.3">
      <c r="A8859" s="7" t="str">
        <f>HYPERLINK("http://www.eatonpowersource.com/products/details/421244","421244")</f>
        <v>421244</v>
      </c>
      <c r="B8859" s="8" t="s">
        <v>8786</v>
      </c>
    </row>
    <row r="8860" spans="1:2" x14ac:dyDescent="0.3">
      <c r="A8860" s="5" t="str">
        <f>HYPERLINK("http://www.eatonpowersource.com/products/details/421574","421574")</f>
        <v>421574</v>
      </c>
      <c r="B8860" s="6" t="s">
        <v>8810</v>
      </c>
    </row>
    <row r="8861" spans="1:2" x14ac:dyDescent="0.3">
      <c r="A8861" s="7" t="str">
        <f>HYPERLINK("http://www.eatonpowersource.com/products/details/421580","421580")</f>
        <v>421580</v>
      </c>
      <c r="B8861" s="8" t="s">
        <v>8811</v>
      </c>
    </row>
    <row r="8862" spans="1:2" x14ac:dyDescent="0.3">
      <c r="A8862" s="5" t="str">
        <f>HYPERLINK("http://www.eatonpowersource.com/products/details/421584","421584")</f>
        <v>421584</v>
      </c>
      <c r="B8862" s="6" t="s">
        <v>8812</v>
      </c>
    </row>
    <row r="8863" spans="1:2" x14ac:dyDescent="0.3">
      <c r="A8863" s="7" t="str">
        <f>HYPERLINK("http://www.eatonpowersource.com/products/details/421585","421585")</f>
        <v>421585</v>
      </c>
      <c r="B8863" s="8" t="s">
        <v>8813</v>
      </c>
    </row>
    <row r="8864" spans="1:2" x14ac:dyDescent="0.3">
      <c r="A8864" s="5" t="str">
        <f>HYPERLINK("http://www.eatonpowersource.com/products/details/421589","421589")</f>
        <v>421589</v>
      </c>
      <c r="B8864" s="6" t="s">
        <v>8814</v>
      </c>
    </row>
    <row r="8865" spans="1:2" x14ac:dyDescent="0.3">
      <c r="A8865" s="7" t="str">
        <f>HYPERLINK("http://www.eatonpowersource.com/products/details/421590","421590")</f>
        <v>421590</v>
      </c>
      <c r="B8865" s="8" t="s">
        <v>8815</v>
      </c>
    </row>
    <row r="8866" spans="1:2" x14ac:dyDescent="0.3">
      <c r="A8866" s="5" t="str">
        <f>HYPERLINK("http://www.eatonpowersource.com/products/details/423096","423096")</f>
        <v>423096</v>
      </c>
      <c r="B8866" s="6" t="s">
        <v>8816</v>
      </c>
    </row>
    <row r="8867" spans="1:2" x14ac:dyDescent="0.3">
      <c r="A8867" s="7" t="str">
        <f>HYPERLINK("http://www.eatonpowersource.com/products/details/427338","427338")</f>
        <v>427338</v>
      </c>
      <c r="B8867" s="8" t="s">
        <v>8817</v>
      </c>
    </row>
    <row r="8868" spans="1:2" x14ac:dyDescent="0.3">
      <c r="A8868" s="5" t="str">
        <f>HYPERLINK("http://www.eatonpowersource.com/products/details/427338-l","427338-L")</f>
        <v>427338-L</v>
      </c>
      <c r="B8868" s="6" t="s">
        <v>8818</v>
      </c>
    </row>
    <row r="8869" spans="1:2" x14ac:dyDescent="0.3">
      <c r="A8869" s="7" t="str">
        <f>HYPERLINK("http://www.eatonpowersource.com/products/details/430251","430251")</f>
        <v>430251</v>
      </c>
      <c r="B8869" s="8" t="s">
        <v>8819</v>
      </c>
    </row>
    <row r="8870" spans="1:2" x14ac:dyDescent="0.3">
      <c r="A8870" s="5" t="str">
        <f>HYPERLINK("http://www.eatonpowersource.com/products/details/497115","497115")</f>
        <v>497115</v>
      </c>
      <c r="B8870" s="6" t="s">
        <v>8820</v>
      </c>
    </row>
    <row r="8871" spans="1:2" x14ac:dyDescent="0.3">
      <c r="A8871" s="7" t="str">
        <f>HYPERLINK("http://www.eatonpowersource.com/products/details/497118","497118")</f>
        <v>497118</v>
      </c>
      <c r="B8871" s="8" t="s">
        <v>8821</v>
      </c>
    </row>
    <row r="8872" spans="1:2" x14ac:dyDescent="0.3">
      <c r="A8872" s="5" t="str">
        <f>HYPERLINK("http://www.eatonpowersource.com/products/details/497119","497119")</f>
        <v>497119</v>
      </c>
      <c r="B8872" s="6" t="s">
        <v>8822</v>
      </c>
    </row>
    <row r="8873" spans="1:2" x14ac:dyDescent="0.3">
      <c r="A8873" s="7" t="str">
        <f>HYPERLINK("http://www.eatonpowersource.com/products/details/497120","497120")</f>
        <v>497120</v>
      </c>
      <c r="B8873" s="8" t="s">
        <v>8823</v>
      </c>
    </row>
    <row r="8874" spans="1:2" x14ac:dyDescent="0.3">
      <c r="A8874" s="5" t="str">
        <f>HYPERLINK("http://www.eatonpowersource.com/products/details/497121","497121")</f>
        <v>497121</v>
      </c>
      <c r="B8874" s="6" t="s">
        <v>8824</v>
      </c>
    </row>
    <row r="8875" spans="1:2" x14ac:dyDescent="0.3">
      <c r="A8875" s="7" t="str">
        <f>HYPERLINK("http://www.eatonpowersource.com/products/details/497122","497122")</f>
        <v>497122</v>
      </c>
      <c r="B8875" s="8" t="s">
        <v>8825</v>
      </c>
    </row>
    <row r="8876" spans="1:2" x14ac:dyDescent="0.3">
      <c r="A8876" s="5" t="str">
        <f>HYPERLINK("http://www.eatonpowersource.com/products/details/579747","579747")</f>
        <v>579747</v>
      </c>
      <c r="B8876" s="6" t="s">
        <v>8826</v>
      </c>
    </row>
    <row r="8877" spans="1:2" x14ac:dyDescent="0.3">
      <c r="A8877" s="7" t="str">
        <f>HYPERLINK("http://www.eatonpowersource.com/products/details/591425","591425")</f>
        <v>591425</v>
      </c>
      <c r="B8877" s="8" t="s">
        <v>8827</v>
      </c>
    </row>
    <row r="8878" spans="1:2" x14ac:dyDescent="0.3">
      <c r="A8878" s="5" t="str">
        <f>HYPERLINK("http://www.eatonpowersource.com/products/details/591425-l","591425-L")</f>
        <v>591425-L</v>
      </c>
      <c r="B8878" s="6" t="s">
        <v>8828</v>
      </c>
    </row>
    <row r="8879" spans="1:2" x14ac:dyDescent="0.3">
      <c r="A8879" s="7" t="str">
        <f>HYPERLINK("http://www.eatonpowersource.com/products/details/595368","595368")</f>
        <v>595368</v>
      </c>
      <c r="B8879" s="8" t="s">
        <v>8829</v>
      </c>
    </row>
    <row r="8880" spans="1:2" x14ac:dyDescent="0.3">
      <c r="A8880" s="5" t="str">
        <f>HYPERLINK("http://www.eatonpowersource.com/products/details/595698","595698")</f>
        <v>595698</v>
      </c>
      <c r="B8880" s="6" t="s">
        <v>8830</v>
      </c>
    </row>
    <row r="8881" spans="1:2" x14ac:dyDescent="0.3">
      <c r="A8881" s="7" t="str">
        <f>HYPERLINK("http://www.eatonpowersource.com/products/details/5993687-001","5993687-001")</f>
        <v>5993687-001</v>
      </c>
      <c r="B8881" s="8" t="s">
        <v>8831</v>
      </c>
    </row>
    <row r="8882" spans="1:2" x14ac:dyDescent="0.3">
      <c r="A8882" s="5" t="str">
        <f>HYPERLINK("http://www.eatonpowersource.com/products/details/860170","860170")</f>
        <v>860170</v>
      </c>
      <c r="B8882" s="6" t="s">
        <v>8832</v>
      </c>
    </row>
    <row r="8883" spans="1:2" x14ac:dyDescent="0.3">
      <c r="A8883" s="7" t="str">
        <f>HYPERLINK("http://www.eatonpowersource.com/products/details/860172","860172")</f>
        <v>860172</v>
      </c>
      <c r="B8883" s="8" t="s">
        <v>8833</v>
      </c>
    </row>
    <row r="8884" spans="1:2" x14ac:dyDescent="0.3">
      <c r="A8884" s="5" t="str">
        <f>HYPERLINK("http://www.eatonpowersource.com/products/details/860178","860178")</f>
        <v>860178</v>
      </c>
      <c r="B8884" s="6" t="s">
        <v>8834</v>
      </c>
    </row>
    <row r="8885" spans="1:2" x14ac:dyDescent="0.3">
      <c r="A8885" s="7" t="str">
        <f>HYPERLINK("http://www.eatonpowersource.com/products/details/860180","860180")</f>
        <v>860180</v>
      </c>
      <c r="B8885" s="8" t="s">
        <v>8835</v>
      </c>
    </row>
    <row r="8886" spans="1:2" x14ac:dyDescent="0.3">
      <c r="A8886" s="5" t="str">
        <f>HYPERLINK("http://www.eatonpowersource.com/products/details/923017","923017")</f>
        <v>923017</v>
      </c>
      <c r="B8886" s="6" t="s">
        <v>8836</v>
      </c>
    </row>
    <row r="8887" spans="1:2" x14ac:dyDescent="0.3">
      <c r="A8887" s="7" t="str">
        <f>HYPERLINK("http://www.eatonpowersource.com/products/details/923018","923018")</f>
        <v>923018</v>
      </c>
      <c r="B8887" s="8" t="s">
        <v>8837</v>
      </c>
    </row>
    <row r="8888" spans="1:2" x14ac:dyDescent="0.3">
      <c r="A8888" s="5" t="str">
        <f>HYPERLINK("http://www.eatonpowersource.com/products/details/923019","923019")</f>
        <v>923019</v>
      </c>
      <c r="B8888" s="6" t="s">
        <v>8838</v>
      </c>
    </row>
    <row r="8889" spans="1:2" x14ac:dyDescent="0.3">
      <c r="A8889" s="7" t="str">
        <f>HYPERLINK("http://www.eatonpowersource.com/products/details/923020","923020")</f>
        <v>923020</v>
      </c>
      <c r="B8889" s="8" t="s">
        <v>8839</v>
      </c>
    </row>
    <row r="8890" spans="1:2" x14ac:dyDescent="0.3">
      <c r="A8890" s="5" t="str">
        <f>HYPERLINK("http://www.eatonpowersource.com/products/details/923099","923099")</f>
        <v>923099</v>
      </c>
      <c r="B8890" s="6" t="s">
        <v>8840</v>
      </c>
    </row>
    <row r="8891" spans="1:2" x14ac:dyDescent="0.3">
      <c r="A8891" s="7" t="str">
        <f>HYPERLINK("http://www.eatonpowersource.com/products/details/923100","923100")</f>
        <v>923100</v>
      </c>
      <c r="B8891" s="8" t="s">
        <v>8841</v>
      </c>
    </row>
    <row r="8892" spans="1:2" x14ac:dyDescent="0.3">
      <c r="A8892" s="5" t="str">
        <f>HYPERLINK("http://www.eatonpowersource.com/products/details/923101","923101")</f>
        <v>923101</v>
      </c>
      <c r="B8892" s="6" t="s">
        <v>8842</v>
      </c>
    </row>
    <row r="8893" spans="1:2" x14ac:dyDescent="0.3">
      <c r="A8893" s="7" t="str">
        <f>HYPERLINK("http://www.eatonpowersource.com/products/details/923109","923109")</f>
        <v>923109</v>
      </c>
      <c r="B8893" s="8" t="s">
        <v>8843</v>
      </c>
    </row>
    <row r="8894" spans="1:2" x14ac:dyDescent="0.3">
      <c r="A8894" s="5" t="str">
        <f>HYPERLINK("http://www.eatonpowersource.com/products/details/923110","923110")</f>
        <v>923110</v>
      </c>
      <c r="B8894" s="6" t="s">
        <v>8844</v>
      </c>
    </row>
    <row r="8895" spans="1:2" x14ac:dyDescent="0.3">
      <c r="A8895" s="7" t="str">
        <f>HYPERLINK("http://www.eatonpowersource.com/products/details/923111","923111")</f>
        <v>923111</v>
      </c>
      <c r="B8895" s="8" t="s">
        <v>8845</v>
      </c>
    </row>
    <row r="8896" spans="1:2" x14ac:dyDescent="0.3">
      <c r="A8896" s="5" t="str">
        <f>HYPERLINK("http://www.eatonpowersource.com/products/details/923159","923159")</f>
        <v>923159</v>
      </c>
      <c r="B8896" s="6" t="s">
        <v>8846</v>
      </c>
    </row>
    <row r="8897" spans="1:2" x14ac:dyDescent="0.3">
      <c r="A8897" s="7" t="str">
        <f>HYPERLINK("http://www.eatonpowersource.com/products/details/923160","923160")</f>
        <v>923160</v>
      </c>
      <c r="B8897" s="8" t="s">
        <v>8847</v>
      </c>
    </row>
    <row r="8898" spans="1:2" x14ac:dyDescent="0.3">
      <c r="A8898" s="5" t="str">
        <f>HYPERLINK("http://www.eatonpowersource.com/products/details/923161","923161")</f>
        <v>923161</v>
      </c>
      <c r="B8898" s="6" t="s">
        <v>8848</v>
      </c>
    </row>
    <row r="8899" spans="1:2" x14ac:dyDescent="0.3">
      <c r="A8899" s="7" t="str">
        <f>HYPERLINK("http://www.eatonpowersource.com/products/details/923162","923162")</f>
        <v>923162</v>
      </c>
      <c r="B8899" s="8" t="s">
        <v>8849</v>
      </c>
    </row>
    <row r="8900" spans="1:2" x14ac:dyDescent="0.3">
      <c r="A8900" s="5" t="str">
        <f>HYPERLINK("http://www.eatonpowersource.com/products/details/923165","923165")</f>
        <v>923165</v>
      </c>
      <c r="B8900" s="6" t="s">
        <v>8850</v>
      </c>
    </row>
    <row r="8901" spans="1:2" x14ac:dyDescent="0.3">
      <c r="A8901" s="7" t="str">
        <f>HYPERLINK("http://www.eatonpowersource.com/products/details/923166","923166")</f>
        <v>923166</v>
      </c>
      <c r="B8901" s="8" t="s">
        <v>8851</v>
      </c>
    </row>
    <row r="8902" spans="1:2" x14ac:dyDescent="0.3">
      <c r="A8902" s="5" t="str">
        <f>HYPERLINK("http://www.eatonpowersource.com/products/details/923167","923167")</f>
        <v>923167</v>
      </c>
      <c r="B8902" s="6" t="s">
        <v>8852</v>
      </c>
    </row>
    <row r="8903" spans="1:2" x14ac:dyDescent="0.3">
      <c r="A8903" s="7" t="str">
        <f>HYPERLINK("http://www.eatonpowersource.com/products/details/923412","923412")</f>
        <v>923412</v>
      </c>
      <c r="B8903" s="8" t="s">
        <v>8853</v>
      </c>
    </row>
    <row r="8904" spans="1:2" x14ac:dyDescent="0.3">
      <c r="A8904" s="5" t="str">
        <f>HYPERLINK("http://www.eatonpowersource.com/products/details/923462","923462")</f>
        <v>923462</v>
      </c>
      <c r="B8904" s="6" t="s">
        <v>8854</v>
      </c>
    </row>
    <row r="8905" spans="1:2" x14ac:dyDescent="0.3">
      <c r="A8905" s="7" t="str">
        <f>HYPERLINK("http://www.eatonpowersource.com/products/details/923468","923468")</f>
        <v>923468</v>
      </c>
      <c r="B8905" s="8" t="s">
        <v>8855</v>
      </c>
    </row>
    <row r="8906" spans="1:2" x14ac:dyDescent="0.3">
      <c r="A8906" s="5" t="str">
        <f>HYPERLINK("http://www.eatonpowersource.com/products/details/923469","923469")</f>
        <v>923469</v>
      </c>
      <c r="B8906" s="6" t="s">
        <v>8856</v>
      </c>
    </row>
    <row r="8907" spans="1:2" x14ac:dyDescent="0.3">
      <c r="A8907" s="7" t="str">
        <f>HYPERLINK("http://www.eatonpowersource.com/products/details/923470","923470")</f>
        <v>923470</v>
      </c>
      <c r="B8907" s="8" t="s">
        <v>8857</v>
      </c>
    </row>
    <row r="8908" spans="1:2" x14ac:dyDescent="0.3">
      <c r="A8908" s="5" t="str">
        <f>HYPERLINK("http://www.eatonpowersource.com/products/details/923471","923471")</f>
        <v>923471</v>
      </c>
      <c r="B8908" s="6" t="s">
        <v>8858</v>
      </c>
    </row>
    <row r="8909" spans="1:2" x14ac:dyDescent="0.3">
      <c r="A8909" s="7" t="str">
        <f>HYPERLINK("http://www.eatonpowersource.com/products/details/923496","923496")</f>
        <v>923496</v>
      </c>
      <c r="B8909" s="8" t="s">
        <v>8859</v>
      </c>
    </row>
    <row r="8910" spans="1:2" x14ac:dyDescent="0.3">
      <c r="A8910" s="5" t="str">
        <f>HYPERLINK("http://www.eatonpowersource.com/products/details/923497","923497")</f>
        <v>923497</v>
      </c>
      <c r="B8910" s="6" t="s">
        <v>8860</v>
      </c>
    </row>
    <row r="8911" spans="1:2" x14ac:dyDescent="0.3">
      <c r="A8911" s="7" t="str">
        <f>HYPERLINK("http://www.eatonpowersource.com/products/details/923498","923498")</f>
        <v>923498</v>
      </c>
      <c r="B8911" s="8" t="s">
        <v>8861</v>
      </c>
    </row>
    <row r="8912" spans="1:2" x14ac:dyDescent="0.3">
      <c r="A8912" s="5" t="str">
        <f>HYPERLINK("http://www.eatonpowersource.com/products/configure/industrial%20valves/details/02-127439","02-127439")</f>
        <v>02-127439</v>
      </c>
      <c r="B8912" s="6" t="s">
        <v>8862</v>
      </c>
    </row>
    <row r="8913" spans="1:2" x14ac:dyDescent="0.3">
      <c r="A8913" s="7" t="str">
        <f>HYPERLINK("http://www.eatonpowersource.com/products/configure/industrial%20valves/details/02-127857","02-127857")</f>
        <v>02-127857</v>
      </c>
      <c r="B8913" s="8" t="s">
        <v>8863</v>
      </c>
    </row>
    <row r="8914" spans="1:2" x14ac:dyDescent="0.3">
      <c r="A8914" s="5" t="str">
        <f>HYPERLINK("http://www.eatonpowersource.com/products/configure/industrial%20valves/details/02-134860","02-134860")</f>
        <v>02-134860</v>
      </c>
      <c r="B8914" s="6" t="s">
        <v>8864</v>
      </c>
    </row>
    <row r="8915" spans="1:2" x14ac:dyDescent="0.3">
      <c r="A8915" s="7" t="str">
        <f>HYPERLINK("http://www.eatonpowersource.com/products/configure/industrial%20valves/details/02-301101","02-301101")</f>
        <v>02-301101</v>
      </c>
      <c r="B8915" s="8" t="s">
        <v>8865</v>
      </c>
    </row>
    <row r="8916" spans="1:2" x14ac:dyDescent="0.3">
      <c r="A8916" s="5" t="str">
        <f>HYPERLINK("http://www.eatonpowersource.com/products/configure/industrial%20valves/details/02-301102","02-301102")</f>
        <v>02-301102</v>
      </c>
      <c r="B8916" s="6" t="s">
        <v>8866</v>
      </c>
    </row>
    <row r="8917" spans="1:2" x14ac:dyDescent="0.3">
      <c r="A8917" s="7" t="str">
        <f>HYPERLINK("http://www.eatonpowersource.com/products/configure/industrial%20valves/details/02-301311","02-301311")</f>
        <v>02-301311</v>
      </c>
      <c r="B8917" s="8" t="s">
        <v>8867</v>
      </c>
    </row>
    <row r="8918" spans="1:2" x14ac:dyDescent="0.3">
      <c r="A8918" s="5" t="str">
        <f>HYPERLINK("http://www.eatonpowersource.com/products/configure/industrial%20valves/details/02-301312","02-301312")</f>
        <v>02-301312</v>
      </c>
      <c r="B8918" s="6" t="s">
        <v>8868</v>
      </c>
    </row>
    <row r="8919" spans="1:2" x14ac:dyDescent="0.3">
      <c r="A8919" s="7" t="str">
        <f>HYPERLINK("http://www.eatonpowersource.com/products/configure/industrial%20valves/details/02-304714","02-304714")</f>
        <v>02-304714</v>
      </c>
      <c r="B8919" s="8" t="s">
        <v>8869</v>
      </c>
    </row>
    <row r="8920" spans="1:2" x14ac:dyDescent="0.3">
      <c r="A8920" s="5" t="str">
        <f>HYPERLINK("http://www.eatonpowersource.com/products/configure/industrial%20valves/details/02-308996","02-308996")</f>
        <v>02-308996</v>
      </c>
      <c r="B8920" s="6" t="s">
        <v>8870</v>
      </c>
    </row>
    <row r="8921" spans="1:2" x14ac:dyDescent="0.3">
      <c r="A8921" s="7" t="str">
        <f>HYPERLINK("http://www.eatonpowersource.com/products/configure/industrial%20valves/details/02-309151","02-309151")</f>
        <v>02-309151</v>
      </c>
      <c r="B8921" s="8" t="s">
        <v>8871</v>
      </c>
    </row>
    <row r="8922" spans="1:2" x14ac:dyDescent="0.3">
      <c r="A8922" s="5" t="str">
        <f>HYPERLINK("http://www.eatonpowersource.com/products/configure/industrial%20valves/details/02-310257","02-310257")</f>
        <v>02-310257</v>
      </c>
      <c r="B8922" s="6" t="s">
        <v>8872</v>
      </c>
    </row>
    <row r="8923" spans="1:2" x14ac:dyDescent="0.3">
      <c r="A8923" s="7" t="str">
        <f>HYPERLINK("http://www.eatonpowersource.com/products/configure/industrial%20valves/details/02-317000","02-317000")</f>
        <v>02-317000</v>
      </c>
      <c r="B8923" s="8" t="s">
        <v>8873</v>
      </c>
    </row>
    <row r="8924" spans="1:2" x14ac:dyDescent="0.3">
      <c r="A8924" s="5" t="str">
        <f>HYPERLINK("http://www.eatonpowersource.com/products/configure/industrial%20valves/details/02-317002","02-317002")</f>
        <v>02-317002</v>
      </c>
      <c r="B8924" s="6" t="s">
        <v>8874</v>
      </c>
    </row>
    <row r="8925" spans="1:2" x14ac:dyDescent="0.3">
      <c r="A8925" s="7" t="str">
        <f>HYPERLINK("http://www.eatonpowersource.com/products/configure/industrial%20valves/details/02-317751","02-317751")</f>
        <v>02-317751</v>
      </c>
      <c r="B8925" s="8" t="s">
        <v>8875</v>
      </c>
    </row>
    <row r="8926" spans="1:2" x14ac:dyDescent="0.3">
      <c r="A8926" s="5" t="str">
        <f>HYPERLINK("http://www.eatonpowersource.com/products/configure/industrial%20valves/details/02-317752","02-317752")</f>
        <v>02-317752</v>
      </c>
      <c r="B8926" s="6" t="s">
        <v>8876</v>
      </c>
    </row>
    <row r="8927" spans="1:2" x14ac:dyDescent="0.3">
      <c r="A8927" s="7" t="str">
        <f>HYPERLINK("http://www.eatonpowersource.com/products/configure/industrial%20valves/details/02-317753","02-317753")</f>
        <v>02-317753</v>
      </c>
      <c r="B8927" s="8" t="s">
        <v>8877</v>
      </c>
    </row>
    <row r="8928" spans="1:2" x14ac:dyDescent="0.3">
      <c r="A8928" s="5" t="str">
        <f>HYPERLINK("http://www.eatonpowersource.com/products/configure/industrial%20valves/details/02-317754","02-317754")</f>
        <v>02-317754</v>
      </c>
      <c r="B8928" s="6" t="s">
        <v>8878</v>
      </c>
    </row>
    <row r="8929" spans="1:2" x14ac:dyDescent="0.3">
      <c r="A8929" s="7" t="str">
        <f>HYPERLINK("http://www.eatonpowersource.com/products/configure/industrial%20valves/details/02-317755","02-317755")</f>
        <v>02-317755</v>
      </c>
      <c r="B8929" s="8" t="s">
        <v>8879</v>
      </c>
    </row>
    <row r="8930" spans="1:2" x14ac:dyDescent="0.3">
      <c r="A8930" s="5" t="str">
        <f>HYPERLINK("http://www.eatonpowersource.com/products/configure/industrial%20valves/details/02-317756","02-317756")</f>
        <v>02-317756</v>
      </c>
      <c r="B8930" s="6" t="s">
        <v>8880</v>
      </c>
    </row>
    <row r="8931" spans="1:2" x14ac:dyDescent="0.3">
      <c r="A8931" s="7" t="str">
        <f>HYPERLINK("http://www.eatonpowersource.com/products/configure/industrial%20valves/details/02-317758","02-317758")</f>
        <v>02-317758</v>
      </c>
      <c r="B8931" s="8" t="s">
        <v>8881</v>
      </c>
    </row>
    <row r="8932" spans="1:2" x14ac:dyDescent="0.3">
      <c r="A8932" s="5" t="str">
        <f>HYPERLINK("http://www.eatonpowersource.com/products/configure/industrial%20valves/details/02-330449","02-330449")</f>
        <v>02-330449</v>
      </c>
      <c r="B8932" s="6" t="s">
        <v>8882</v>
      </c>
    </row>
    <row r="8933" spans="1:2" x14ac:dyDescent="0.3">
      <c r="A8933" s="7" t="str">
        <f>HYPERLINK("http://www.eatonpowersource.com/products/configure/industrial%20valves/details/02-338345","02-338345")</f>
        <v>02-338345</v>
      </c>
      <c r="B8933" s="8" t="s">
        <v>8883</v>
      </c>
    </row>
    <row r="8934" spans="1:2" x14ac:dyDescent="0.3">
      <c r="A8934" s="5" t="str">
        <f>HYPERLINK("http://www.eatonpowersource.com/products/configure/industrial%20valves/details/02-339490","02-339490")</f>
        <v>02-339490</v>
      </c>
      <c r="B8934" s="6" t="s">
        <v>8884</v>
      </c>
    </row>
    <row r="8935" spans="1:2" x14ac:dyDescent="0.3">
      <c r="A8935" s="7" t="str">
        <f>HYPERLINK("http://www.eatonpowersource.com/products/configure/industrial%20valves/details/02-355860","02-355860")</f>
        <v>02-355860</v>
      </c>
      <c r="B8935" s="8" t="s">
        <v>8885</v>
      </c>
    </row>
    <row r="8936" spans="1:2" x14ac:dyDescent="0.3">
      <c r="A8936" s="5" t="str">
        <f>HYPERLINK("http://www.eatonpowersource.com/products/configure/industrial%20valves/details/02-356172","02-356172")</f>
        <v>02-356172</v>
      </c>
      <c r="B8936" s="6" t="s">
        <v>8886</v>
      </c>
    </row>
    <row r="8937" spans="1:2" x14ac:dyDescent="0.3">
      <c r="A8937" s="7" t="str">
        <f>HYPERLINK("http://www.eatonpowersource.com/products/configure/industrial%20valves/details/02-357570","02-357570")</f>
        <v>02-357570</v>
      </c>
      <c r="B8937" s="8" t="s">
        <v>8887</v>
      </c>
    </row>
    <row r="8938" spans="1:2" x14ac:dyDescent="0.3">
      <c r="A8938" s="5" t="str">
        <f>HYPERLINK("http://www.eatonpowersource.com/products/configure/industrial%20valves/details/02-394817","02-394817")</f>
        <v>02-394817</v>
      </c>
      <c r="B8938" s="6" t="s">
        <v>8888</v>
      </c>
    </row>
    <row r="8939" spans="1:2" x14ac:dyDescent="0.3">
      <c r="A8939" s="7" t="str">
        <f>HYPERLINK("http://www.eatonpowersource.com/products/configure/industrial%20valves/details/02-395080","02-395080")</f>
        <v>02-395080</v>
      </c>
      <c r="B8939" s="8" t="s">
        <v>8889</v>
      </c>
    </row>
    <row r="8940" spans="1:2" x14ac:dyDescent="0.3">
      <c r="A8940" s="5" t="str">
        <f>HYPERLINK("http://www.eatonpowersource.com/products/configure/industrial%20valves/details/175066","175066")</f>
        <v>175066</v>
      </c>
      <c r="B8940" s="6" t="s">
        <v>8890</v>
      </c>
    </row>
    <row r="8941" spans="1:2" x14ac:dyDescent="0.3">
      <c r="A8941" s="7" t="str">
        <f>HYPERLINK("http://www.eatonpowersource.com/products/configure/industrial%20valves/details/175067","175067")</f>
        <v>175067</v>
      </c>
      <c r="B8941" s="8" t="s">
        <v>8891</v>
      </c>
    </row>
    <row r="8942" spans="1:2" x14ac:dyDescent="0.3">
      <c r="A8942" s="5" t="str">
        <f>HYPERLINK("http://www.eatonpowersource.com/products/configure/industrial%20valves/details/175068","175068")</f>
        <v>175068</v>
      </c>
      <c r="B8942" s="6" t="s">
        <v>8892</v>
      </c>
    </row>
    <row r="8943" spans="1:2" x14ac:dyDescent="0.3">
      <c r="A8943" s="7" t="str">
        <f>HYPERLINK("http://www.eatonpowersource.com/products/configure/industrial%20valves/details/184464","184464")</f>
        <v>184464</v>
      </c>
      <c r="B8943" s="8" t="s">
        <v>8893</v>
      </c>
    </row>
    <row r="8944" spans="1:2" x14ac:dyDescent="0.3">
      <c r="A8944" s="5" t="str">
        <f>HYPERLINK("http://www.eatonpowersource.com/products/configure/industrial%20valves/details/572254","572254")</f>
        <v>572254</v>
      </c>
      <c r="B8944" s="6" t="s">
        <v>8894</v>
      </c>
    </row>
    <row r="8945" spans="1:2" x14ac:dyDescent="0.3">
      <c r="A8945" s="7" t="str">
        <f>HYPERLINK("http://www.eatonpowersource.com/products/configure/industrial%20valves/details/572255","572255")</f>
        <v>572255</v>
      </c>
      <c r="B8945" s="8" t="s">
        <v>8895</v>
      </c>
    </row>
    <row r="8946" spans="1:2" x14ac:dyDescent="0.3">
      <c r="A8946" s="5" t="str">
        <f>HYPERLINK("http://www.eatonpowersource.com/products/configure/industrial%20valves/details/572256","572256")</f>
        <v>572256</v>
      </c>
      <c r="B8946" s="6" t="s">
        <v>8896</v>
      </c>
    </row>
    <row r="8947" spans="1:2" x14ac:dyDescent="0.3">
      <c r="A8947" s="7" t="str">
        <f>HYPERLINK("http://www.eatonpowersource.com/products/configure/industrial%20valves/details/572257","572257")</f>
        <v>572257</v>
      </c>
      <c r="B8947" s="8" t="s">
        <v>8897</v>
      </c>
    </row>
    <row r="8948" spans="1:2" x14ac:dyDescent="0.3">
      <c r="A8948" s="5" t="str">
        <f>HYPERLINK("http://www.eatonpowersource.com/products/configure/industrial%20valves/details/572258","572258")</f>
        <v>572258</v>
      </c>
      <c r="B8948" s="6" t="s">
        <v>8898</v>
      </c>
    </row>
    <row r="8949" spans="1:2" x14ac:dyDescent="0.3">
      <c r="A8949" s="7" t="str">
        <f>HYPERLINK("http://www.eatonpowersource.com/products/configure/industrial%20valves/details/572259","572259")</f>
        <v>572259</v>
      </c>
      <c r="B8949" s="8" t="s">
        <v>8899</v>
      </c>
    </row>
    <row r="8950" spans="1:2" x14ac:dyDescent="0.3">
      <c r="A8950" s="5" t="str">
        <f>HYPERLINK("http://www.eatonpowersource.com/products/configure/industrial%20valves/details/572263","572263")</f>
        <v>572263</v>
      </c>
      <c r="B8950" s="6" t="s">
        <v>8900</v>
      </c>
    </row>
    <row r="8951" spans="1:2" x14ac:dyDescent="0.3">
      <c r="A8951" s="7" t="str">
        <f>HYPERLINK("http://www.eatonpowersource.com/products/configure/industrial%20valves/details/572265","572265")</f>
        <v>572265</v>
      </c>
      <c r="B8951" s="8" t="s">
        <v>8901</v>
      </c>
    </row>
    <row r="8952" spans="1:2" x14ac:dyDescent="0.3">
      <c r="A8952" s="5" t="str">
        <f>HYPERLINK("http://www.eatonpowersource.com/products/configure/industrial%20valves/details/572267","572267")</f>
        <v>572267</v>
      </c>
      <c r="B8952" s="6" t="s">
        <v>8902</v>
      </c>
    </row>
    <row r="8953" spans="1:2" x14ac:dyDescent="0.3">
      <c r="A8953" s="7" t="str">
        <f>HYPERLINK("http://www.eatonpowersource.com/products/configure/industrial%20valves/details/590281","590281")</f>
        <v>590281</v>
      </c>
      <c r="B8953" s="8" t="s">
        <v>8903</v>
      </c>
    </row>
    <row r="8954" spans="1:2" x14ac:dyDescent="0.3">
      <c r="A8954" s="5" t="str">
        <f>HYPERLINK("http://www.eatonpowersource.com/products/configure/industrial%20valves/details/590283","590283")</f>
        <v>590283</v>
      </c>
      <c r="B8954" s="6" t="s">
        <v>8904</v>
      </c>
    </row>
    <row r="8955" spans="1:2" x14ac:dyDescent="0.3">
      <c r="A8955" s="7" t="str">
        <f>HYPERLINK("http://www.eatonpowersource.com/products/configure/industrial%20valves/details/590409","590409")</f>
        <v>590409</v>
      </c>
      <c r="B8955" s="8" t="s">
        <v>8905</v>
      </c>
    </row>
    <row r="8956" spans="1:2" x14ac:dyDescent="0.3">
      <c r="A8956" s="5" t="str">
        <f>HYPERLINK("http://www.eatonpowersource.com/products/configure/industrial%20valves/details/590536","590536")</f>
        <v>590536</v>
      </c>
      <c r="B8956" s="6" t="s">
        <v>8906</v>
      </c>
    </row>
    <row r="8957" spans="1:2" x14ac:dyDescent="0.3">
      <c r="A8957" s="7" t="str">
        <f>HYPERLINK("http://www.eatonpowersource.com/products/configure/industrial%20valves/details/590537","590537")</f>
        <v>590537</v>
      </c>
      <c r="B8957" s="8" t="s">
        <v>8907</v>
      </c>
    </row>
    <row r="8958" spans="1:2" x14ac:dyDescent="0.3">
      <c r="A8958" s="5" t="str">
        <f>HYPERLINK("http://www.eatonpowersource.com/products/configure/industrial%20valves/details/590538","590538")</f>
        <v>590538</v>
      </c>
      <c r="B8958" s="6" t="s">
        <v>8908</v>
      </c>
    </row>
    <row r="8959" spans="1:2" x14ac:dyDescent="0.3">
      <c r="A8959" s="7" t="str">
        <f>HYPERLINK("http://www.eatonpowersource.com/products/configure/industrial%20valves/details/590539","590539")</f>
        <v>590539</v>
      </c>
      <c r="B8959" s="8" t="s">
        <v>8909</v>
      </c>
    </row>
    <row r="8960" spans="1:2" x14ac:dyDescent="0.3">
      <c r="A8960" s="5" t="str">
        <f>HYPERLINK("http://www.eatonpowersource.com/products/configure/industrial%20valves/details/590540","590540")</f>
        <v>590540</v>
      </c>
      <c r="B8960" s="6" t="s">
        <v>8910</v>
      </c>
    </row>
    <row r="8961" spans="1:2" x14ac:dyDescent="0.3">
      <c r="A8961" s="7" t="str">
        <f>HYPERLINK("http://www.eatonpowersource.com/products/configure/industrial%20valves/details/590554","590554")</f>
        <v>590554</v>
      </c>
      <c r="B8961" s="8" t="s">
        <v>8911</v>
      </c>
    </row>
    <row r="8962" spans="1:2" x14ac:dyDescent="0.3">
      <c r="A8962" s="5" t="str">
        <f>HYPERLINK("http://www.eatonpowersource.com/products/configure/industrial%20valves/details/590561","590561")</f>
        <v>590561</v>
      </c>
      <c r="B8962" s="6" t="s">
        <v>8912</v>
      </c>
    </row>
    <row r="8963" spans="1:2" x14ac:dyDescent="0.3">
      <c r="A8963" s="7" t="str">
        <f>HYPERLINK("http://www.eatonpowersource.com/products/configure/industrial%20valves/details/590958","590958")</f>
        <v>590958</v>
      </c>
      <c r="B8963" s="8" t="s">
        <v>8913</v>
      </c>
    </row>
    <row r="8964" spans="1:2" x14ac:dyDescent="0.3">
      <c r="A8964" s="5" t="str">
        <f>HYPERLINK("http://www.eatonpowersource.com/products/configure/industrial%20valves/details/590960","590960")</f>
        <v>590960</v>
      </c>
      <c r="B8964" s="6" t="s">
        <v>8914</v>
      </c>
    </row>
    <row r="8965" spans="1:2" x14ac:dyDescent="0.3">
      <c r="A8965" s="7" t="str">
        <f>HYPERLINK("http://www.eatonpowersource.com/products/configure/industrial%20valves/details/590961","590961")</f>
        <v>590961</v>
      </c>
      <c r="B8965" s="8" t="s">
        <v>8915</v>
      </c>
    </row>
    <row r="8966" spans="1:2" x14ac:dyDescent="0.3">
      <c r="A8966" s="5" t="str">
        <f>HYPERLINK("http://www.eatonpowersource.com/products/configure/industrial%20valves/details/590962","590962")</f>
        <v>590962</v>
      </c>
      <c r="B8966" s="6" t="s">
        <v>8916</v>
      </c>
    </row>
    <row r="8967" spans="1:2" x14ac:dyDescent="0.3">
      <c r="A8967" s="7" t="str">
        <f>HYPERLINK("http://www.eatonpowersource.com/products/configure/industrial%20valves/details/597849","597849")</f>
        <v>597849</v>
      </c>
      <c r="B8967" s="8" t="s">
        <v>8917</v>
      </c>
    </row>
    <row r="8968" spans="1:2" x14ac:dyDescent="0.3">
      <c r="A8968" s="5" t="str">
        <f>HYPERLINK("http://www.eatonpowersource.com/products/configure/industrial%20valves/details/597851","597851")</f>
        <v>597851</v>
      </c>
      <c r="B8968" s="6" t="s">
        <v>8918</v>
      </c>
    </row>
    <row r="8969" spans="1:2" x14ac:dyDescent="0.3">
      <c r="A8969" s="7" t="str">
        <f>HYPERLINK("http://www.eatonpowersource.com/products/configure/industrial%20valves/details/597853","597853")</f>
        <v>597853</v>
      </c>
      <c r="B8969" s="8" t="s">
        <v>8919</v>
      </c>
    </row>
    <row r="8970" spans="1:2" x14ac:dyDescent="0.3">
      <c r="A8970" s="5" t="str">
        <f>HYPERLINK("http://www.eatonpowersource.com/products/configure/industrial%20valves/details/597855","597855")</f>
        <v>597855</v>
      </c>
      <c r="B8970" s="6" t="s">
        <v>8920</v>
      </c>
    </row>
    <row r="8971" spans="1:2" x14ac:dyDescent="0.3">
      <c r="A8971" s="7" t="str">
        <f>HYPERLINK("http://www.eatonpowersource.com/products/configure/industrial%20valves/details/597857","597857")</f>
        <v>597857</v>
      </c>
      <c r="B8971" s="8" t="s">
        <v>8921</v>
      </c>
    </row>
    <row r="8972" spans="1:2" x14ac:dyDescent="0.3">
      <c r="A8972" s="5" t="str">
        <f>HYPERLINK("http://www.eatonpowersource.com/products/configure/industrial%20valves/details/597858","597858")</f>
        <v>597858</v>
      </c>
      <c r="B8972" s="6" t="s">
        <v>8922</v>
      </c>
    </row>
    <row r="8973" spans="1:2" x14ac:dyDescent="0.3">
      <c r="A8973" s="7" t="str">
        <f>HYPERLINK("http://www.eatonpowersource.com/products/configure/industrial%20valves/details/597859","597859")</f>
        <v>597859</v>
      </c>
      <c r="B8973" s="8" t="s">
        <v>8923</v>
      </c>
    </row>
    <row r="8974" spans="1:2" x14ac:dyDescent="0.3">
      <c r="A8974" s="5" t="str">
        <f>HYPERLINK("http://www.eatonpowersource.com/products/configure/industrial%20valves/details/630513","630513")</f>
        <v>630513</v>
      </c>
      <c r="B8974" s="6" t="s">
        <v>8924</v>
      </c>
    </row>
    <row r="8975" spans="1:2" x14ac:dyDescent="0.3">
      <c r="A8975" s="7" t="str">
        <f>HYPERLINK("http://www.eatonpowersource.com/products/configure/industrial%20valves/details/631054","631054")</f>
        <v>631054</v>
      </c>
      <c r="B8975" s="8" t="s">
        <v>8925</v>
      </c>
    </row>
    <row r="8976" spans="1:2" x14ac:dyDescent="0.3">
      <c r="A8976" s="5" t="str">
        <f>HYPERLINK("http://www.eatonpowersource.com/products/configure/industrial%20valves/details/631055","631055")</f>
        <v>631055</v>
      </c>
      <c r="B8976" s="6" t="s">
        <v>8926</v>
      </c>
    </row>
    <row r="8977" spans="1:2" x14ac:dyDescent="0.3">
      <c r="A8977" s="7" t="str">
        <f>HYPERLINK("http://www.eatonpowersource.com/products/configure/industrial%20valves/details/631056","631056")</f>
        <v>631056</v>
      </c>
      <c r="B8977" s="8" t="s">
        <v>8927</v>
      </c>
    </row>
    <row r="8978" spans="1:2" x14ac:dyDescent="0.3">
      <c r="A8978" s="5" t="str">
        <f>HYPERLINK("http://www.eatonpowersource.com/products/configure/industrial%20valves/details/02-309872","02-309872")</f>
        <v>02-309872</v>
      </c>
      <c r="B8978" s="6" t="s">
        <v>8928</v>
      </c>
    </row>
    <row r="8979" spans="1:2" x14ac:dyDescent="0.3">
      <c r="A8979" s="7" t="str">
        <f>HYPERLINK("http://www.eatonpowersource.com/products/configure/industrial%20valves/details/02-317428","02-317428")</f>
        <v>02-317428</v>
      </c>
      <c r="B8979" s="8" t="s">
        <v>8929</v>
      </c>
    </row>
    <row r="8980" spans="1:2" x14ac:dyDescent="0.3">
      <c r="A8980" s="5" t="str">
        <f>HYPERLINK("http://www.eatonpowersource.com/products/configure/industrial%20valves/details/02-330946","02-330946")</f>
        <v>02-330946</v>
      </c>
      <c r="B8980" s="6" t="s">
        <v>8930</v>
      </c>
    </row>
    <row r="8981" spans="1:2" x14ac:dyDescent="0.3">
      <c r="A8981" s="7" t="str">
        <f>HYPERLINK("http://www.eatonpowersource.com/products/configure/industrial%20valves/details/02-337462","02-337462")</f>
        <v>02-337462</v>
      </c>
      <c r="B8981" s="8" t="s">
        <v>8931</v>
      </c>
    </row>
    <row r="8982" spans="1:2" x14ac:dyDescent="0.3">
      <c r="A8982" s="5" t="str">
        <f>HYPERLINK("http://www.eatonpowersource.com/products/configure/industrial%20valves/details/02-342072","02-342072")</f>
        <v>02-342072</v>
      </c>
      <c r="B8982" s="6" t="s">
        <v>8932</v>
      </c>
    </row>
    <row r="8983" spans="1:2" x14ac:dyDescent="0.3">
      <c r="A8983" s="7" t="str">
        <f>HYPERLINK("http://www.eatonpowersource.com/products/configure/industrial%20valves/details/02-361441","02-361441")</f>
        <v>02-361441</v>
      </c>
      <c r="B8983" s="8" t="s">
        <v>8933</v>
      </c>
    </row>
    <row r="8984" spans="1:2" x14ac:dyDescent="0.3">
      <c r="A8984" s="5" t="str">
        <f>HYPERLINK("http://www.eatonpowersource.com/products/configure/industrial%20valves/details/02-362555","02-362555")</f>
        <v>02-362555</v>
      </c>
      <c r="B8984" s="6" t="s">
        <v>8934</v>
      </c>
    </row>
    <row r="8985" spans="1:2" x14ac:dyDescent="0.3">
      <c r="A8985" s="7" t="str">
        <f>HYPERLINK("http://www.eatonpowersource.com/products/configure/industrial%20valves/details/02-393467","02-393467")</f>
        <v>02-393467</v>
      </c>
      <c r="B8985" s="8" t="s">
        <v>8935</v>
      </c>
    </row>
    <row r="8986" spans="1:2" x14ac:dyDescent="0.3">
      <c r="A8986" s="5" t="str">
        <f>HYPERLINK("http://www.eatonpowersource.com/products/configure/industrial%20valves/details/02-393540","02-393540")</f>
        <v>02-393540</v>
      </c>
      <c r="B8986" s="6" t="s">
        <v>8936</v>
      </c>
    </row>
    <row r="8987" spans="1:2" x14ac:dyDescent="0.3">
      <c r="A8987" s="7" t="str">
        <f>HYPERLINK("http://www.eatonpowersource.com/products/configure/industrial%20valves/details/459955","459955")</f>
        <v>459955</v>
      </c>
      <c r="B8987" s="8" t="s">
        <v>8937</v>
      </c>
    </row>
    <row r="8988" spans="1:2" x14ac:dyDescent="0.3">
      <c r="A8988" s="5" t="str">
        <f>HYPERLINK("http://www.eatonpowersource.com/products/configure/industrial%20valves/details/477070","477070")</f>
        <v>477070</v>
      </c>
      <c r="B8988" s="6" t="s">
        <v>8938</v>
      </c>
    </row>
    <row r="8989" spans="1:2" x14ac:dyDescent="0.3">
      <c r="A8989" s="7" t="str">
        <f>HYPERLINK("http://www.eatonpowersource.com/products/configure/industrial%20valves/details/572262","572262")</f>
        <v>572262</v>
      </c>
      <c r="B8989" s="8" t="s">
        <v>8939</v>
      </c>
    </row>
    <row r="8990" spans="1:2" x14ac:dyDescent="0.3">
      <c r="A8990" s="5" t="str">
        <f>HYPERLINK("http://www.eatonpowersource.com/products/configure/industrial%20valves/details/583868","583868")</f>
        <v>583868</v>
      </c>
      <c r="B8990" s="6" t="s">
        <v>8940</v>
      </c>
    </row>
    <row r="8991" spans="1:2" x14ac:dyDescent="0.3">
      <c r="A8991" s="7" t="str">
        <f>HYPERLINK("http://www.eatonpowersource.com/products/configure/industrial%20valves/details/590294","590294")</f>
        <v>590294</v>
      </c>
      <c r="B8991" s="8" t="s">
        <v>8941</v>
      </c>
    </row>
    <row r="8992" spans="1:2" x14ac:dyDescent="0.3">
      <c r="A8992" s="5" t="str">
        <f>HYPERLINK("http://www.eatonpowersource.com/products/configure/industrial%20valves/details/590385","590385")</f>
        <v>590385</v>
      </c>
      <c r="B8992" s="6" t="s">
        <v>8942</v>
      </c>
    </row>
    <row r="8993" spans="1:2" x14ac:dyDescent="0.3">
      <c r="A8993" s="7" t="str">
        <f>HYPERLINK("http://www.eatonpowersource.com/products/configure/industrial%20valves/details/590386","590386")</f>
        <v>590386</v>
      </c>
      <c r="B8993" s="8" t="s">
        <v>8943</v>
      </c>
    </row>
    <row r="8994" spans="1:2" x14ac:dyDescent="0.3">
      <c r="A8994" s="5" t="str">
        <f>HYPERLINK("http://www.eatonpowersource.com/products/configure/industrial%20valves/details/590388","590388")</f>
        <v>590388</v>
      </c>
      <c r="B8994" s="6" t="s">
        <v>8944</v>
      </c>
    </row>
    <row r="8995" spans="1:2" x14ac:dyDescent="0.3">
      <c r="A8995" s="7" t="str">
        <f>HYPERLINK("http://www.eatonpowersource.com/products/configure/industrial%20valves/details/593904","593904")</f>
        <v>593904</v>
      </c>
      <c r="B8995" s="8" t="s">
        <v>8945</v>
      </c>
    </row>
    <row r="8996" spans="1:2" x14ac:dyDescent="0.3">
      <c r="A8996" s="5" t="str">
        <f>HYPERLINK("http://www.eatonpowersource.com/products/configure/industrial%20valves/details/593933","593933")</f>
        <v>593933</v>
      </c>
      <c r="B8996" s="6" t="s">
        <v>8946</v>
      </c>
    </row>
    <row r="8997" spans="1:2" x14ac:dyDescent="0.3">
      <c r="A8997" s="7" t="str">
        <f>HYPERLINK("http://www.eatonpowersource.com/products/configure/industrial%20valves/details/597075","597075")</f>
        <v>597075</v>
      </c>
      <c r="B8997" s="8" t="s">
        <v>8947</v>
      </c>
    </row>
    <row r="8998" spans="1:2" x14ac:dyDescent="0.3">
      <c r="A8998" s="5" t="str">
        <f>HYPERLINK("http://www.eatonpowersource.com/products/configure/industrial%20valves/details/597076","597076")</f>
        <v>597076</v>
      </c>
      <c r="B8998" s="6" t="s">
        <v>8948</v>
      </c>
    </row>
    <row r="8999" spans="1:2" x14ac:dyDescent="0.3">
      <c r="A8999" s="7" t="str">
        <f>HYPERLINK("http://www.eatonpowersource.com/products/configure/industrial%20valves/details/597077","597077")</f>
        <v>597077</v>
      </c>
      <c r="B8999" s="8" t="s">
        <v>8949</v>
      </c>
    </row>
    <row r="9000" spans="1:2" x14ac:dyDescent="0.3">
      <c r="A9000" s="5" t="str">
        <f>HYPERLINK("http://www.eatonpowersource.com/products/configure/industrial%20valves/details/597078","597078")</f>
        <v>597078</v>
      </c>
      <c r="B9000" s="6" t="s">
        <v>8950</v>
      </c>
    </row>
    <row r="9001" spans="1:2" x14ac:dyDescent="0.3">
      <c r="A9001" s="7" t="str">
        <f>HYPERLINK("http://www.eatonpowersource.com/products/configure/industrial%20valves/details/597079","597079")</f>
        <v>597079</v>
      </c>
      <c r="B9001" s="8" t="s">
        <v>8951</v>
      </c>
    </row>
    <row r="9002" spans="1:2" x14ac:dyDescent="0.3">
      <c r="A9002" s="5" t="str">
        <f>HYPERLINK("http://www.eatonpowersource.com/products/configure/industrial%20valves/details/597103","597103")</f>
        <v>597103</v>
      </c>
      <c r="B9002" s="6" t="s">
        <v>8952</v>
      </c>
    </row>
    <row r="9003" spans="1:2" x14ac:dyDescent="0.3">
      <c r="A9003" s="7" t="str">
        <f>HYPERLINK("http://www.eatonpowersource.com/products/configure/industrial%20valves/details/597138","597138")</f>
        <v>597138</v>
      </c>
      <c r="B9003" s="8" t="s">
        <v>8953</v>
      </c>
    </row>
    <row r="9004" spans="1:2" x14ac:dyDescent="0.3">
      <c r="A9004" s="5" t="str">
        <f>HYPERLINK("http://www.eatonpowersource.com/products/configure/industrial%20valves/details/626077","626077")</f>
        <v>626077</v>
      </c>
      <c r="B9004" s="6" t="s">
        <v>8954</v>
      </c>
    </row>
    <row r="9005" spans="1:2" x14ac:dyDescent="0.3">
      <c r="A9005" s="7" t="str">
        <f>HYPERLINK("http://www.eatonpowersource.com/products/configure/industrial%20valves/details/626078","626078")</f>
        <v>626078</v>
      </c>
      <c r="B9005" s="8" t="s">
        <v>8955</v>
      </c>
    </row>
    <row r="9006" spans="1:2" x14ac:dyDescent="0.3">
      <c r="A9006" s="5" t="str">
        <f>HYPERLINK("http://www.eatonpowersource.com/products/configure/industrial%20valves/details/626079","626079")</f>
        <v>626079</v>
      </c>
      <c r="B9006" s="6" t="s">
        <v>8956</v>
      </c>
    </row>
    <row r="9007" spans="1:2" x14ac:dyDescent="0.3">
      <c r="A9007" s="7" t="str">
        <f>HYPERLINK("http://www.eatonpowersource.com/products/configure/industrial%20valves/details/626081","626081")</f>
        <v>626081</v>
      </c>
      <c r="B9007" s="8" t="s">
        <v>8957</v>
      </c>
    </row>
    <row r="9008" spans="1:2" x14ac:dyDescent="0.3">
      <c r="A9008" s="5" t="str">
        <f>HYPERLINK("http://www.eatonpowersource.com/products/configure/industrial%20valves/details/626082","626082")</f>
        <v>626082</v>
      </c>
      <c r="B9008" s="6" t="s">
        <v>8958</v>
      </c>
    </row>
    <row r="9009" spans="1:2" x14ac:dyDescent="0.3">
      <c r="A9009" s="7" t="str">
        <f>HYPERLINK("http://www.eatonpowersource.com/products/configure/industrial%20valves/details/626083","626083")</f>
        <v>626083</v>
      </c>
      <c r="B9009" s="8" t="s">
        <v>8959</v>
      </c>
    </row>
    <row r="9010" spans="1:2" x14ac:dyDescent="0.3">
      <c r="A9010" s="5" t="str">
        <f>HYPERLINK("http://www.eatonpowersource.com/products/configure/industrial%20valves/details/626089","626089")</f>
        <v>626089</v>
      </c>
      <c r="B9010" s="6" t="s">
        <v>8960</v>
      </c>
    </row>
    <row r="9011" spans="1:2" x14ac:dyDescent="0.3">
      <c r="A9011" s="7" t="str">
        <f>HYPERLINK("http://www.eatonpowersource.com/products/configure/industrial%20valves/details/626090","626090")</f>
        <v>626090</v>
      </c>
      <c r="B9011" s="8" t="s">
        <v>8961</v>
      </c>
    </row>
    <row r="9012" spans="1:2" x14ac:dyDescent="0.3">
      <c r="A9012" s="5" t="str">
        <f>HYPERLINK("http://www.eatonpowersource.com/products/configure/industrial%20valves/details/626092","626092")</f>
        <v>626092</v>
      </c>
      <c r="B9012" s="6" t="s">
        <v>8962</v>
      </c>
    </row>
    <row r="9013" spans="1:2" x14ac:dyDescent="0.3">
      <c r="A9013" s="7" t="str">
        <f>HYPERLINK("http://www.eatonpowersource.com/products/configure/industrial%20valves/details/629030","629030")</f>
        <v>629030</v>
      </c>
      <c r="B9013" s="8" t="s">
        <v>8963</v>
      </c>
    </row>
    <row r="9014" spans="1:2" x14ac:dyDescent="0.3">
      <c r="A9014" s="5" t="str">
        <f>HYPERLINK("http://www.eatonpowersource.com/products/configure/industrial%20valves/details/629031","629031")</f>
        <v>629031</v>
      </c>
      <c r="B9014" s="6" t="s">
        <v>8964</v>
      </c>
    </row>
    <row r="9015" spans="1:2" x14ac:dyDescent="0.3">
      <c r="A9015" s="7" t="str">
        <f>HYPERLINK("http://www.eatonpowersource.com/products/configure/industrial%20valves/details/629035","629035")</f>
        <v>629035</v>
      </c>
      <c r="B9015" s="8" t="s">
        <v>8965</v>
      </c>
    </row>
    <row r="9016" spans="1:2" x14ac:dyDescent="0.3">
      <c r="A9016" s="5" t="str">
        <f>HYPERLINK("http://www.eatonpowersource.com/products/configure/industrial%20valves/details/629039","629039")</f>
        <v>629039</v>
      </c>
      <c r="B9016" s="6" t="s">
        <v>8966</v>
      </c>
    </row>
    <row r="9017" spans="1:2" x14ac:dyDescent="0.3">
      <c r="A9017" s="7" t="str">
        <f>HYPERLINK("http://www.eatonpowersource.com/products/configure/industrial%20valves/details/629059","629059")</f>
        <v>629059</v>
      </c>
      <c r="B9017" s="8" t="s">
        <v>8967</v>
      </c>
    </row>
    <row r="9018" spans="1:2" x14ac:dyDescent="0.3">
      <c r="A9018" s="5" t="str">
        <f>HYPERLINK("http://www.eatonpowersource.com/products/configure/industrial%20valves/details/629063","629063")</f>
        <v>629063</v>
      </c>
      <c r="B9018" s="6" t="s">
        <v>8968</v>
      </c>
    </row>
    <row r="9019" spans="1:2" x14ac:dyDescent="0.3">
      <c r="A9019" s="7" t="str">
        <f>HYPERLINK("http://www.eatonpowersource.com/products/configure/industrial%20valves/details/629082","629082")</f>
        <v>629082</v>
      </c>
      <c r="B9019" s="8" t="s">
        <v>8969</v>
      </c>
    </row>
    <row r="9020" spans="1:2" x14ac:dyDescent="0.3">
      <c r="A9020" s="5" t="str">
        <f>HYPERLINK("http://www.eatonpowersource.com/products/configure/industrial%20valves/details/629085","629085")</f>
        <v>629085</v>
      </c>
      <c r="B9020" s="6" t="s">
        <v>8970</v>
      </c>
    </row>
    <row r="9021" spans="1:2" x14ac:dyDescent="0.3">
      <c r="A9021" s="7" t="str">
        <f>HYPERLINK("http://www.eatonpowersource.com/products/configure/industrial%20valves/details/629098","629098")</f>
        <v>629098</v>
      </c>
      <c r="B9021" s="8" t="s">
        <v>8971</v>
      </c>
    </row>
    <row r="9022" spans="1:2" x14ac:dyDescent="0.3">
      <c r="A9022" s="5" t="str">
        <f>HYPERLINK("http://www.eatonpowersource.com/products/configure/industrial%20valves/details/633165","633165")</f>
        <v>633165</v>
      </c>
      <c r="B9022" s="6" t="s">
        <v>8972</v>
      </c>
    </row>
    <row r="9023" spans="1:2" x14ac:dyDescent="0.3">
      <c r="A9023" s="7" t="str">
        <f>HYPERLINK("http://www.eatonpowersource.com/products/configure/industrial%20valves/details/634085","634085")</f>
        <v>634085</v>
      </c>
      <c r="B9023" s="8" t="s">
        <v>8973</v>
      </c>
    </row>
    <row r="9024" spans="1:2" x14ac:dyDescent="0.3">
      <c r="A9024" s="5" t="str">
        <f>HYPERLINK("http://www.eatonpowersource.com/products/configure/industrial%20valves/details/634827","634827")</f>
        <v>634827</v>
      </c>
      <c r="B9024" s="6" t="s">
        <v>8974</v>
      </c>
    </row>
    <row r="9025" spans="1:2" x14ac:dyDescent="0.3">
      <c r="A9025" s="7" t="str">
        <f>HYPERLINK("http://www.eatonpowersource.com/products/configure/industrial%20valves/details/635542","635542")</f>
        <v>635542</v>
      </c>
      <c r="B9025" s="8" t="s">
        <v>8975</v>
      </c>
    </row>
    <row r="9026" spans="1:2" x14ac:dyDescent="0.3">
      <c r="A9026" s="5" t="str">
        <f>HYPERLINK("http://www.eatonpowersource.com/products/configure/industrial%20valves/details/676058","676058")</f>
        <v>676058</v>
      </c>
      <c r="B9026" s="6" t="s">
        <v>8976</v>
      </c>
    </row>
    <row r="9027" spans="1:2" x14ac:dyDescent="0.3">
      <c r="A9027" s="7" t="str">
        <f>HYPERLINK("http://www.eatonpowersource.com/products/configure/industrial%20valves/details/682144","682144")</f>
        <v>682144</v>
      </c>
      <c r="B9027" s="8" t="s">
        <v>8977</v>
      </c>
    </row>
    <row r="9028" spans="1:2" x14ac:dyDescent="0.3">
      <c r="A9028" s="5" t="str">
        <f>HYPERLINK("http://www.eatonpowersource.com/products/configure/industrial%20valves/details/684527","684527")</f>
        <v>684527</v>
      </c>
      <c r="B9028" s="6" t="s">
        <v>8978</v>
      </c>
    </row>
    <row r="9029" spans="1:2" x14ac:dyDescent="0.3">
      <c r="A9029" s="7" t="str">
        <f>HYPERLINK("http://www.eatonpowersource.com/products/configure/industrial%20valves/details/691061","691061")</f>
        <v>691061</v>
      </c>
      <c r="B9029" s="8" t="s">
        <v>8979</v>
      </c>
    </row>
    <row r="9030" spans="1:2" x14ac:dyDescent="0.3">
      <c r="A9030" s="5" t="str">
        <f>HYPERLINK("http://www.eatonpowersource.com/products/configure/industrial%20valves/details/02-413780","02-413780")</f>
        <v>02-413780</v>
      </c>
      <c r="B9030" s="6" t="s">
        <v>8980</v>
      </c>
    </row>
    <row r="9031" spans="1:2" x14ac:dyDescent="0.3">
      <c r="A9031" s="7" t="str">
        <f>HYPERLINK("http://www.eatonpowersource.com/products/configure/industrial%20valves/details/02-413782","02-413782")</f>
        <v>02-413782</v>
      </c>
      <c r="B9031" s="8" t="s">
        <v>8981</v>
      </c>
    </row>
    <row r="9032" spans="1:2" x14ac:dyDescent="0.3">
      <c r="A9032" s="5" t="str">
        <f>HYPERLINK("http://www.eatonpowersource.com/products/configure/industrial%20valves/details/02-413789","02-413789")</f>
        <v>02-413789</v>
      </c>
      <c r="B9032" s="6" t="s">
        <v>8982</v>
      </c>
    </row>
    <row r="9033" spans="1:2" x14ac:dyDescent="0.3">
      <c r="A9033" s="7" t="str">
        <f>HYPERLINK("http://www.eatonpowersource.com/products/configure/industrial%20valves/details/02-413801","02-413801")</f>
        <v>02-413801</v>
      </c>
      <c r="B9033" s="8" t="s">
        <v>8983</v>
      </c>
    </row>
    <row r="9034" spans="1:2" x14ac:dyDescent="0.3">
      <c r="A9034" s="5" t="str">
        <f>HYPERLINK("http://www.eatonpowersource.com/products/configure/industrial%20valves/details/02-414318","02-414318")</f>
        <v>02-414318</v>
      </c>
      <c r="B9034" s="6" t="s">
        <v>8984</v>
      </c>
    </row>
    <row r="9035" spans="1:2" x14ac:dyDescent="0.3">
      <c r="A9035" s="7" t="str">
        <f>HYPERLINK("http://www.eatonpowersource.com/products/configure/industrial%20valves/details/02-414320","02-414320")</f>
        <v>02-414320</v>
      </c>
      <c r="B9035" s="8" t="s">
        <v>8985</v>
      </c>
    </row>
    <row r="9036" spans="1:2" x14ac:dyDescent="0.3">
      <c r="A9036" s="5" t="str">
        <f>HYPERLINK("http://www.eatonpowersource.com/products/configure/industrial%20valves/details/02-414326","02-414326")</f>
        <v>02-414326</v>
      </c>
      <c r="B9036" s="6" t="s">
        <v>8986</v>
      </c>
    </row>
    <row r="9037" spans="1:2" x14ac:dyDescent="0.3">
      <c r="A9037" s="7" t="str">
        <f>HYPERLINK("http://www.eatonpowersource.com/products/configure/industrial%20valves/details/207774","207774")</f>
        <v>207774</v>
      </c>
      <c r="B9037" s="8" t="s">
        <v>8987</v>
      </c>
    </row>
    <row r="9038" spans="1:2" x14ac:dyDescent="0.3">
      <c r="A9038" s="5" t="str">
        <f>HYPERLINK("http://www.eatonpowersource.com/products/configure/industrial%20valves/details/330786","330786")</f>
        <v>330786</v>
      </c>
      <c r="B9038" s="6" t="s">
        <v>8988</v>
      </c>
    </row>
    <row r="9039" spans="1:2" x14ac:dyDescent="0.3">
      <c r="A9039" s="7" t="str">
        <f>HYPERLINK("http://www.eatonpowersource.com/products/configure/industrial%20valves/details/330788","330788")</f>
        <v>330788</v>
      </c>
      <c r="B9039" s="8" t="s">
        <v>8989</v>
      </c>
    </row>
    <row r="9040" spans="1:2" x14ac:dyDescent="0.3">
      <c r="A9040" s="5" t="str">
        <f>HYPERLINK("http://www.eatonpowersource.com/products/configure/industrial%20valves/details/330789","330789")</f>
        <v>330789</v>
      </c>
      <c r="B9040" s="6" t="s">
        <v>8990</v>
      </c>
    </row>
    <row r="9041" spans="1:2" x14ac:dyDescent="0.3">
      <c r="A9041" s="7" t="str">
        <f>HYPERLINK("http://www.eatonpowersource.com/products/configure/industrial%20valves/details/390312","390312")</f>
        <v>390312</v>
      </c>
      <c r="B9041" s="8" t="s">
        <v>8991</v>
      </c>
    </row>
    <row r="9042" spans="1:2" x14ac:dyDescent="0.3">
      <c r="A9042" s="5" t="str">
        <f>HYPERLINK("http://www.eatonpowersource.com/products/configure/industrial%20valves/details/420498","420498")</f>
        <v>420498</v>
      </c>
      <c r="B9042" s="6" t="s">
        <v>8992</v>
      </c>
    </row>
    <row r="9043" spans="1:2" x14ac:dyDescent="0.3">
      <c r="A9043" s="7" t="str">
        <f>HYPERLINK("http://www.eatonpowersource.com/products/configure/industrial%20valves/details/420603","420603")</f>
        <v>420603</v>
      </c>
      <c r="B9043" s="8" t="s">
        <v>8993</v>
      </c>
    </row>
    <row r="9044" spans="1:2" x14ac:dyDescent="0.3">
      <c r="A9044" s="5" t="str">
        <f>HYPERLINK("http://www.eatonpowersource.com/products/configure/industrial%20valves/details/420607","420607")</f>
        <v>420607</v>
      </c>
      <c r="B9044" s="6" t="s">
        <v>8994</v>
      </c>
    </row>
    <row r="9045" spans="1:2" x14ac:dyDescent="0.3">
      <c r="A9045" s="7" t="str">
        <f>HYPERLINK("http://www.eatonpowersource.com/products/configure/industrial%20valves/details/420627","420627")</f>
        <v>420627</v>
      </c>
      <c r="B9045" s="8" t="s">
        <v>8995</v>
      </c>
    </row>
    <row r="9046" spans="1:2" x14ac:dyDescent="0.3">
      <c r="A9046" s="5" t="str">
        <f>HYPERLINK("http://www.eatonpowersource.com/products/configure/industrial%20valves/details/422042","422042")</f>
        <v>422042</v>
      </c>
      <c r="B9046" s="6" t="s">
        <v>8996</v>
      </c>
    </row>
    <row r="9047" spans="1:2" x14ac:dyDescent="0.3">
      <c r="A9047" s="7" t="str">
        <f>HYPERLINK("http://www.eatonpowersource.com/products/configure/industrial%20valves/details/426505","426505")</f>
        <v>426505</v>
      </c>
      <c r="B9047" s="8" t="s">
        <v>8997</v>
      </c>
    </row>
    <row r="9048" spans="1:2" x14ac:dyDescent="0.3">
      <c r="A9048" s="5" t="str">
        <f>HYPERLINK("http://www.eatonpowersource.com/products/configure/industrial%20valves/details/426507","426507")</f>
        <v>426507</v>
      </c>
      <c r="B9048" s="6" t="s">
        <v>8998</v>
      </c>
    </row>
    <row r="9049" spans="1:2" x14ac:dyDescent="0.3">
      <c r="A9049" s="7" t="str">
        <f>HYPERLINK("http://www.eatonpowersource.com/products/configure/industrial%20valves/details/426945","426945")</f>
        <v>426945</v>
      </c>
      <c r="B9049" s="8" t="s">
        <v>8999</v>
      </c>
    </row>
    <row r="9050" spans="1:2" x14ac:dyDescent="0.3">
      <c r="A9050" s="5" t="str">
        <f>HYPERLINK("http://www.eatonpowersource.com/products/configure/industrial%20valves/details/853598","853598")</f>
        <v>853598</v>
      </c>
      <c r="B9050" s="6" t="s">
        <v>9000</v>
      </c>
    </row>
    <row r="9051" spans="1:2" x14ac:dyDescent="0.3">
      <c r="A9051" s="7" t="str">
        <f>HYPERLINK("http://www.eatonpowersource.com/products/configure/industrial%20valves/details/853599","853599")</f>
        <v>853599</v>
      </c>
      <c r="B9051" s="8" t="s">
        <v>9001</v>
      </c>
    </row>
    <row r="9052" spans="1:2" x14ac:dyDescent="0.3">
      <c r="A9052" s="5" t="str">
        <f>HYPERLINK("http://www.eatonpowersource.com/products/configure/industrial%20valves/details/02-140401","02-140401")</f>
        <v>02-140401</v>
      </c>
      <c r="B9052" s="6" t="s">
        <v>9002</v>
      </c>
    </row>
    <row r="9053" spans="1:2" x14ac:dyDescent="0.3">
      <c r="A9053" s="7" t="str">
        <f>HYPERLINK("http://www.eatonpowersource.com/products/configure/industrial%20valves/details/02-140411","02-140411")</f>
        <v>02-140411</v>
      </c>
      <c r="B9053" s="8" t="s">
        <v>9003</v>
      </c>
    </row>
    <row r="9054" spans="1:2" x14ac:dyDescent="0.3">
      <c r="A9054" s="5" t="str">
        <f>HYPERLINK("http://www.eatonpowersource.com/products/configure/industrial%20valves/details/02-304072","02-304072")</f>
        <v>02-304072</v>
      </c>
      <c r="B9054" s="6" t="s">
        <v>9004</v>
      </c>
    </row>
    <row r="9055" spans="1:2" x14ac:dyDescent="0.3">
      <c r="A9055" s="7" t="str">
        <f>HYPERLINK("http://www.eatonpowersource.com/products/configure/industrial%20valves/details/02-304074","02-304074")</f>
        <v>02-304074</v>
      </c>
      <c r="B9055" s="8" t="s">
        <v>9005</v>
      </c>
    </row>
    <row r="9056" spans="1:2" x14ac:dyDescent="0.3">
      <c r="A9056" s="5" t="str">
        <f>HYPERLINK("http://www.eatonpowersource.com/products/configure/industrial%20valves/details/02-304076","02-304076")</f>
        <v>02-304076</v>
      </c>
      <c r="B9056" s="6" t="s">
        <v>9006</v>
      </c>
    </row>
    <row r="9057" spans="1:2" x14ac:dyDescent="0.3">
      <c r="A9057" s="7" t="str">
        <f>HYPERLINK("http://www.eatonpowersource.com/products/configure/industrial%20valves/details/02-304078","02-304078")</f>
        <v>02-304078</v>
      </c>
      <c r="B9057" s="8" t="s">
        <v>9007</v>
      </c>
    </row>
    <row r="9058" spans="1:2" x14ac:dyDescent="0.3">
      <c r="A9058" s="5" t="str">
        <f>HYPERLINK("http://www.eatonpowersource.com/products/configure/industrial%20valves/details/02-304079","02-304079")</f>
        <v>02-304079</v>
      </c>
      <c r="B9058" s="6" t="s">
        <v>9008</v>
      </c>
    </row>
    <row r="9059" spans="1:2" x14ac:dyDescent="0.3">
      <c r="A9059" s="7" t="str">
        <f>HYPERLINK("http://www.eatonpowersource.com/products/configure/industrial%20valves/details/114088","114088")</f>
        <v>114088</v>
      </c>
      <c r="B9059" s="8" t="s">
        <v>9009</v>
      </c>
    </row>
    <row r="9060" spans="1:2" x14ac:dyDescent="0.3">
      <c r="A9060" s="5" t="str">
        <f>HYPERLINK("http://www.eatonpowersource.com/products/configure/industrial%20valves/details/117378","117378")</f>
        <v>117378</v>
      </c>
      <c r="B9060" s="6" t="s">
        <v>9010</v>
      </c>
    </row>
    <row r="9061" spans="1:2" x14ac:dyDescent="0.3">
      <c r="A9061" s="7" t="str">
        <f>HYPERLINK("http://www.eatonpowersource.com/products/configure/industrial%20valves/details/117379","117379")</f>
        <v>117379</v>
      </c>
      <c r="B9061" s="8" t="s">
        <v>9011</v>
      </c>
    </row>
    <row r="9062" spans="1:2" x14ac:dyDescent="0.3">
      <c r="A9062" s="5" t="str">
        <f>HYPERLINK("http://www.eatonpowersource.com/products/configure/industrial%20valves/details/125667","125667")</f>
        <v>125667</v>
      </c>
      <c r="B9062" s="6" t="s">
        <v>9012</v>
      </c>
    </row>
    <row r="9063" spans="1:2" x14ac:dyDescent="0.3">
      <c r="A9063" s="7" t="str">
        <f>HYPERLINK("http://www.eatonpowersource.com/products/configure/industrial%20valves/details/125668","125668")</f>
        <v>125668</v>
      </c>
      <c r="B9063" s="8" t="s">
        <v>9013</v>
      </c>
    </row>
    <row r="9064" spans="1:2" x14ac:dyDescent="0.3">
      <c r="A9064" s="5" t="str">
        <f>HYPERLINK("http://www.eatonpowersource.com/products/configure/industrial%20valves/details/125670","125670")</f>
        <v>125670</v>
      </c>
      <c r="B9064" s="6" t="s">
        <v>9014</v>
      </c>
    </row>
    <row r="9065" spans="1:2" x14ac:dyDescent="0.3">
      <c r="A9065" s="7" t="str">
        <f>HYPERLINK("http://www.eatonpowersource.com/products/configure/industrial%20valves/details/125671","125671")</f>
        <v>125671</v>
      </c>
      <c r="B9065" s="8" t="s">
        <v>9015</v>
      </c>
    </row>
    <row r="9066" spans="1:2" x14ac:dyDescent="0.3">
      <c r="A9066" s="5" t="str">
        <f>HYPERLINK("http://www.eatonpowersource.com/products/configure/industrial%20valves/details/190261","190261")</f>
        <v>190261</v>
      </c>
      <c r="B9066" s="6" t="s">
        <v>9016</v>
      </c>
    </row>
    <row r="9067" spans="1:2" x14ac:dyDescent="0.3">
      <c r="A9067" s="7" t="str">
        <f>HYPERLINK("http://www.eatonpowersource.com/products/configure/industrial%20valves/details/213582","213582")</f>
        <v>213582</v>
      </c>
      <c r="B9067" s="8" t="s">
        <v>9017</v>
      </c>
    </row>
    <row r="9068" spans="1:2" x14ac:dyDescent="0.3">
      <c r="A9068" s="5" t="str">
        <f>HYPERLINK("http://www.eatonpowersource.com/products/configure/industrial%20valves/details/213725","213725")</f>
        <v>213725</v>
      </c>
      <c r="B9068" s="6" t="s">
        <v>9018</v>
      </c>
    </row>
    <row r="9069" spans="1:2" x14ac:dyDescent="0.3">
      <c r="A9069" s="7" t="str">
        <f>HYPERLINK("http://www.eatonpowersource.com/products/configure/industrial%20valves/details/213726","213726")</f>
        <v>213726</v>
      </c>
      <c r="B9069" s="8" t="s">
        <v>9019</v>
      </c>
    </row>
    <row r="9070" spans="1:2" x14ac:dyDescent="0.3">
      <c r="A9070" s="5" t="str">
        <f>HYPERLINK("http://www.eatonpowersource.com/products/configure/industrial%20valves/details/213727","213727")</f>
        <v>213727</v>
      </c>
      <c r="B9070" s="6" t="s">
        <v>9020</v>
      </c>
    </row>
    <row r="9071" spans="1:2" x14ac:dyDescent="0.3">
      <c r="A9071" s="7" t="str">
        <f>HYPERLINK("http://www.eatonpowersource.com/products/configure/industrial%20valves/details/354759","354759")</f>
        <v>354759</v>
      </c>
      <c r="B9071" s="8" t="s">
        <v>9021</v>
      </c>
    </row>
    <row r="9072" spans="1:2" x14ac:dyDescent="0.3">
      <c r="A9072" s="5" t="str">
        <f>HYPERLINK("http://www.eatonpowersource.com/products/configure/industrial%20valves/details/385619","385619")</f>
        <v>385619</v>
      </c>
      <c r="B9072" s="6" t="s">
        <v>9022</v>
      </c>
    </row>
    <row r="9073" spans="1:2" x14ac:dyDescent="0.3">
      <c r="A9073" s="7" t="str">
        <f>HYPERLINK("http://www.eatonpowersource.com/products/configure/industrial%20valves/details/565393","565393")</f>
        <v>565393</v>
      </c>
      <c r="B9073" s="8" t="s">
        <v>9023</v>
      </c>
    </row>
    <row r="9074" spans="1:2" x14ac:dyDescent="0.3">
      <c r="A9074" s="5" t="str">
        <f>HYPERLINK("http://www.eatonpowersource.com/products/configure/industrial%20valves/details/580964","580964")</f>
        <v>580964</v>
      </c>
      <c r="B9074" s="6" t="s">
        <v>9024</v>
      </c>
    </row>
    <row r="9075" spans="1:2" x14ac:dyDescent="0.3">
      <c r="A9075" s="7" t="str">
        <f>HYPERLINK("http://www.eatonpowersource.com/products/configure/industrial%20valves/details/626494","626494")</f>
        <v>626494</v>
      </c>
      <c r="B9075" s="8" t="s">
        <v>9025</v>
      </c>
    </row>
    <row r="9076" spans="1:2" x14ac:dyDescent="0.3">
      <c r="A9076" s="5" t="str">
        <f>HYPERLINK("http://www.eatonpowersource.com/products/configure/industrial%20valves/details/626499","626499")</f>
        <v>626499</v>
      </c>
      <c r="B9076" s="6" t="s">
        <v>9026</v>
      </c>
    </row>
    <row r="9077" spans="1:2" x14ac:dyDescent="0.3">
      <c r="A9077" s="7" t="str">
        <f>HYPERLINK("http://www.eatonpowersource.com/products/configure/industrial%20valves/details/626523","626523")</f>
        <v>626523</v>
      </c>
      <c r="B9077" s="8" t="s">
        <v>9027</v>
      </c>
    </row>
    <row r="9078" spans="1:2" x14ac:dyDescent="0.3">
      <c r="A9078" s="5" t="str">
        <f>HYPERLINK("http://www.eatonpowersource.com/products/configure/industrial%20valves/details/626541","626541")</f>
        <v>626541</v>
      </c>
      <c r="B9078" s="6" t="s">
        <v>9028</v>
      </c>
    </row>
    <row r="9079" spans="1:2" x14ac:dyDescent="0.3">
      <c r="A9079" s="7" t="str">
        <f>HYPERLINK("http://www.eatonpowersource.com/products/configure/industrial%20valves/details/626543","626543")</f>
        <v>626543</v>
      </c>
      <c r="B9079" s="8" t="s">
        <v>9029</v>
      </c>
    </row>
    <row r="9080" spans="1:2" x14ac:dyDescent="0.3">
      <c r="A9080" s="5" t="str">
        <f>HYPERLINK("http://www.eatonpowersource.com/products/configure/industrial%20valves/details/626545","626545")</f>
        <v>626545</v>
      </c>
      <c r="B9080" s="6" t="s">
        <v>9030</v>
      </c>
    </row>
    <row r="9081" spans="1:2" x14ac:dyDescent="0.3">
      <c r="A9081" s="7" t="str">
        <f>HYPERLINK("http://www.eatonpowersource.com/products/configure/industrial%20valves/details/626547","626547")</f>
        <v>626547</v>
      </c>
      <c r="B9081" s="8" t="s">
        <v>9031</v>
      </c>
    </row>
    <row r="9082" spans="1:2" x14ac:dyDescent="0.3">
      <c r="A9082" s="5" t="str">
        <f>HYPERLINK("http://www.eatonpowersource.com/products/configure/industrial%20valves/details/626613","626613")</f>
        <v>626613</v>
      </c>
      <c r="B9082" s="6" t="s">
        <v>9032</v>
      </c>
    </row>
    <row r="9083" spans="1:2" x14ac:dyDescent="0.3">
      <c r="A9083" s="7" t="str">
        <f>HYPERLINK("http://www.eatonpowersource.com/products/configure/industrial%20valves/details/02-155395","02-155395")</f>
        <v>02-155395</v>
      </c>
      <c r="B9083" s="8" t="s">
        <v>9033</v>
      </c>
    </row>
    <row r="9084" spans="1:2" x14ac:dyDescent="0.3">
      <c r="A9084" s="5" t="str">
        <f>HYPERLINK("http://www.eatonpowersource.com/products/configure/industrial%20valves/details/02-321782","02-321782")</f>
        <v>02-321782</v>
      </c>
      <c r="B9084" s="6" t="s">
        <v>9034</v>
      </c>
    </row>
    <row r="9085" spans="1:2" x14ac:dyDescent="0.3">
      <c r="A9085" s="7" t="str">
        <f>HYPERLINK("http://www.eatonpowersource.com/products/configure/industrial%20valves/details/02-321802","02-321802")</f>
        <v>02-321802</v>
      </c>
      <c r="B9085" s="8" t="s">
        <v>9035</v>
      </c>
    </row>
    <row r="9086" spans="1:2" x14ac:dyDescent="0.3">
      <c r="A9086" s="5" t="str">
        <f>HYPERLINK("http://www.eatonpowersource.com/products/configure/industrial%20valves/details/02-321824","02-321824")</f>
        <v>02-321824</v>
      </c>
      <c r="B9086" s="6" t="s">
        <v>9036</v>
      </c>
    </row>
    <row r="9087" spans="1:2" x14ac:dyDescent="0.3">
      <c r="A9087" s="7" t="str">
        <f>HYPERLINK("http://www.eatonpowersource.com/products/configure/industrial%20valves/details/02-321828","02-321828")</f>
        <v>02-321828</v>
      </c>
      <c r="B9087" s="8" t="s">
        <v>9037</v>
      </c>
    </row>
    <row r="9088" spans="1:2" x14ac:dyDescent="0.3">
      <c r="A9088" s="5" t="str">
        <f>HYPERLINK("http://www.eatonpowersource.com/products/configure/industrial%20valves/details/02-321853","02-321853")</f>
        <v>02-321853</v>
      </c>
      <c r="B9088" s="6" t="s">
        <v>9038</v>
      </c>
    </row>
    <row r="9089" spans="1:2" x14ac:dyDescent="0.3">
      <c r="A9089" s="7" t="str">
        <f>HYPERLINK("http://www.eatonpowersource.com/products/configure/industrial%20valves/details/02-321905","02-321905")</f>
        <v>02-321905</v>
      </c>
      <c r="B9089" s="8" t="s">
        <v>9039</v>
      </c>
    </row>
    <row r="9090" spans="1:2" x14ac:dyDescent="0.3">
      <c r="A9090" s="5" t="str">
        <f>HYPERLINK("http://www.eatonpowersource.com/products/configure/industrial%20valves/details/02-324250","02-324250")</f>
        <v>02-324250</v>
      </c>
      <c r="B9090" s="6" t="s">
        <v>9040</v>
      </c>
    </row>
    <row r="9091" spans="1:2" x14ac:dyDescent="0.3">
      <c r="A9091" s="7" t="str">
        <f>HYPERLINK("http://www.eatonpowersource.com/products/configure/industrial%20valves/details/02-324283","02-324283")</f>
        <v>02-324283</v>
      </c>
      <c r="B9091" s="8" t="s">
        <v>9041</v>
      </c>
    </row>
    <row r="9092" spans="1:2" x14ac:dyDescent="0.3">
      <c r="A9092" s="5" t="str">
        <f>HYPERLINK("http://www.eatonpowersource.com/products/configure/industrial%20valves/details/02-324286","02-324286")</f>
        <v>02-324286</v>
      </c>
      <c r="B9092" s="6" t="s">
        <v>9042</v>
      </c>
    </row>
    <row r="9093" spans="1:2" x14ac:dyDescent="0.3">
      <c r="A9093" s="7" t="str">
        <f>HYPERLINK("http://www.eatonpowersource.com/products/configure/industrial%20valves/details/02-324287","02-324287")</f>
        <v>02-324287</v>
      </c>
      <c r="B9093" s="8" t="s">
        <v>9043</v>
      </c>
    </row>
    <row r="9094" spans="1:2" x14ac:dyDescent="0.3">
      <c r="A9094" s="5" t="str">
        <f>HYPERLINK("http://www.eatonpowersource.com/products/configure/industrial%20valves/details/02-324304","02-324304")</f>
        <v>02-324304</v>
      </c>
      <c r="B9094" s="6" t="s">
        <v>9044</v>
      </c>
    </row>
    <row r="9095" spans="1:2" x14ac:dyDescent="0.3">
      <c r="A9095" s="7" t="str">
        <f>HYPERLINK("http://www.eatonpowersource.com/products/configure/industrial%20valves/details/02-324329","02-324329")</f>
        <v>02-324329</v>
      </c>
      <c r="B9095" s="8" t="s">
        <v>9045</v>
      </c>
    </row>
    <row r="9096" spans="1:2" x14ac:dyDescent="0.3">
      <c r="A9096" s="5" t="str">
        <f>HYPERLINK("http://www.eatonpowersource.com/products/configure/industrial%20valves/details/02-325842","02-325842")</f>
        <v>02-325842</v>
      </c>
      <c r="B9096" s="6" t="s">
        <v>9046</v>
      </c>
    </row>
    <row r="9097" spans="1:2" x14ac:dyDescent="0.3">
      <c r="A9097" s="7" t="str">
        <f>HYPERLINK("http://www.eatonpowersource.com/products/configure/industrial%20valves/details/02-329117","02-329117")</f>
        <v>02-329117</v>
      </c>
      <c r="B9097" s="8" t="s">
        <v>9047</v>
      </c>
    </row>
    <row r="9098" spans="1:2" x14ac:dyDescent="0.3">
      <c r="A9098" s="5" t="str">
        <f>HYPERLINK("http://www.eatonpowersource.com/products/configure/industrial%20valves/details/02-329168","02-329168")</f>
        <v>02-329168</v>
      </c>
      <c r="B9098" s="6" t="s">
        <v>9048</v>
      </c>
    </row>
    <row r="9099" spans="1:2" x14ac:dyDescent="0.3">
      <c r="A9099" s="7" t="str">
        <f>HYPERLINK("http://www.eatonpowersource.com/products/configure/industrial%20valves/details/02-330396","02-330396")</f>
        <v>02-330396</v>
      </c>
      <c r="B9099" s="8" t="s">
        <v>9049</v>
      </c>
    </row>
    <row r="9100" spans="1:2" x14ac:dyDescent="0.3">
      <c r="A9100" s="5" t="str">
        <f>HYPERLINK("http://www.eatonpowersource.com/products/configure/industrial%20valves/details/02-330932","02-330932")</f>
        <v>02-330932</v>
      </c>
      <c r="B9100" s="6" t="s">
        <v>9050</v>
      </c>
    </row>
    <row r="9101" spans="1:2" x14ac:dyDescent="0.3">
      <c r="A9101" s="7" t="str">
        <f>HYPERLINK("http://www.eatonpowersource.com/products/configure/industrial%20valves/details/02-336445","02-336445")</f>
        <v>02-336445</v>
      </c>
      <c r="B9101" s="8" t="s">
        <v>9051</v>
      </c>
    </row>
    <row r="9102" spans="1:2" x14ac:dyDescent="0.3">
      <c r="A9102" s="5" t="str">
        <f>HYPERLINK("http://www.eatonpowersource.com/products/configure/industrial%20valves/details/02-337502","02-337502")</f>
        <v>02-337502</v>
      </c>
      <c r="B9102" s="6" t="s">
        <v>9052</v>
      </c>
    </row>
    <row r="9103" spans="1:2" x14ac:dyDescent="0.3">
      <c r="A9103" s="7" t="str">
        <f>HYPERLINK("http://www.eatonpowersource.com/products/configure/industrial%20valves/details/02-339015","02-339015")</f>
        <v>02-339015</v>
      </c>
      <c r="B9103" s="8" t="s">
        <v>9053</v>
      </c>
    </row>
    <row r="9104" spans="1:2" x14ac:dyDescent="0.3">
      <c r="A9104" s="5" t="str">
        <f>HYPERLINK("http://www.eatonpowersource.com/products/configure/industrial%20valves/details/02-339130","02-339130")</f>
        <v>02-339130</v>
      </c>
      <c r="B9104" s="6" t="s">
        <v>9054</v>
      </c>
    </row>
    <row r="9105" spans="1:2" x14ac:dyDescent="0.3">
      <c r="A9105" s="7" t="str">
        <f>HYPERLINK("http://www.eatonpowersource.com/products/configure/industrial%20valves/details/02-339454","02-339454")</f>
        <v>02-339454</v>
      </c>
      <c r="B9105" s="8" t="s">
        <v>9055</v>
      </c>
    </row>
    <row r="9106" spans="1:2" x14ac:dyDescent="0.3">
      <c r="A9106" s="5" t="str">
        <f>HYPERLINK("http://www.eatonpowersource.com/products/configure/industrial%20valves/details/02-339932","02-339932")</f>
        <v>02-339932</v>
      </c>
      <c r="B9106" s="6" t="s">
        <v>9056</v>
      </c>
    </row>
    <row r="9107" spans="1:2" x14ac:dyDescent="0.3">
      <c r="A9107" s="7" t="str">
        <f>HYPERLINK("http://www.eatonpowersource.com/products/configure/industrial%20valves/details/02-343618","02-343618")</f>
        <v>02-343618</v>
      </c>
      <c r="B9107" s="8" t="s">
        <v>9057</v>
      </c>
    </row>
    <row r="9108" spans="1:2" x14ac:dyDescent="0.3">
      <c r="A9108" s="5" t="str">
        <f>HYPERLINK("http://www.eatonpowersource.com/products/configure/industrial%20valves/details/02-344002","02-344002")</f>
        <v>02-344002</v>
      </c>
      <c r="B9108" s="6" t="s">
        <v>9058</v>
      </c>
    </row>
    <row r="9109" spans="1:2" x14ac:dyDescent="0.3">
      <c r="A9109" s="7" t="str">
        <f>HYPERLINK("http://www.eatonpowersource.com/products/configure/industrial%20valves/details/02-344369","02-344369")</f>
        <v>02-344369</v>
      </c>
      <c r="B9109" s="8" t="s">
        <v>9059</v>
      </c>
    </row>
    <row r="9110" spans="1:2" x14ac:dyDescent="0.3">
      <c r="A9110" s="5" t="str">
        <f>HYPERLINK("http://www.eatonpowersource.com/products/configure/industrial%20valves/details/02-344863","02-344863")</f>
        <v>02-344863</v>
      </c>
      <c r="B9110" s="6" t="s">
        <v>9060</v>
      </c>
    </row>
    <row r="9111" spans="1:2" x14ac:dyDescent="0.3">
      <c r="A9111" s="7" t="str">
        <f>HYPERLINK("http://www.eatonpowersource.com/products/configure/industrial%20valves/details/02-355386","02-355386")</f>
        <v>02-355386</v>
      </c>
      <c r="B9111" s="8" t="s">
        <v>9061</v>
      </c>
    </row>
    <row r="9112" spans="1:2" x14ac:dyDescent="0.3">
      <c r="A9112" s="5" t="str">
        <f>HYPERLINK("http://www.eatonpowersource.com/products/configure/industrial%20valves/details/02-355439","02-355439")</f>
        <v>02-355439</v>
      </c>
      <c r="B9112" s="6" t="s">
        <v>9062</v>
      </c>
    </row>
    <row r="9113" spans="1:2" x14ac:dyDescent="0.3">
      <c r="A9113" s="7" t="str">
        <f>HYPERLINK("http://www.eatonpowersource.com/products/configure/industrial%20valves/details/02-356594","02-356594")</f>
        <v>02-356594</v>
      </c>
      <c r="B9113" s="8" t="s">
        <v>9063</v>
      </c>
    </row>
    <row r="9114" spans="1:2" x14ac:dyDescent="0.3">
      <c r="A9114" s="5" t="str">
        <f>HYPERLINK("http://www.eatonpowersource.com/products/configure/industrial%20valves/details/02-356635","02-356635")</f>
        <v>02-356635</v>
      </c>
      <c r="B9114" s="6" t="s">
        <v>9064</v>
      </c>
    </row>
    <row r="9115" spans="1:2" x14ac:dyDescent="0.3">
      <c r="A9115" s="7" t="str">
        <f>HYPERLINK("http://www.eatonpowersource.com/products/configure/industrial%20valves/details/02-360411","02-360411")</f>
        <v>02-360411</v>
      </c>
      <c r="B9115" s="8" t="s">
        <v>9065</v>
      </c>
    </row>
    <row r="9116" spans="1:2" x14ac:dyDescent="0.3">
      <c r="A9116" s="5" t="str">
        <f>HYPERLINK("http://www.eatonpowersource.com/products/configure/industrial%20valves/details/02-362193","02-362193")</f>
        <v>02-362193</v>
      </c>
      <c r="B9116" s="6" t="s">
        <v>9066</v>
      </c>
    </row>
    <row r="9117" spans="1:2" x14ac:dyDescent="0.3">
      <c r="A9117" s="7" t="str">
        <f>HYPERLINK("http://www.eatonpowersource.com/products/configure/industrial%20valves/details/02-390686","02-390686")</f>
        <v>02-390686</v>
      </c>
      <c r="B9117" s="8" t="s">
        <v>9067</v>
      </c>
    </row>
    <row r="9118" spans="1:2" x14ac:dyDescent="0.3">
      <c r="A9118" s="5" t="str">
        <f>HYPERLINK("http://www.eatonpowersource.com/products/configure/industrial%20valves/details/02-390872","02-390872")</f>
        <v>02-390872</v>
      </c>
      <c r="B9118" s="6" t="s">
        <v>9068</v>
      </c>
    </row>
    <row r="9119" spans="1:2" x14ac:dyDescent="0.3">
      <c r="A9119" s="7" t="str">
        <f>HYPERLINK("http://www.eatonpowersource.com/products/configure/industrial%20valves/details/02-391652","02-391652")</f>
        <v>02-391652</v>
      </c>
      <c r="B9119" s="8" t="s">
        <v>9069</v>
      </c>
    </row>
    <row r="9120" spans="1:2" x14ac:dyDescent="0.3">
      <c r="A9120" s="5" t="str">
        <f>HYPERLINK("http://www.eatonpowersource.com/products/configure/industrial%20valves/details/02-397706","02-397706")</f>
        <v>02-397706</v>
      </c>
      <c r="B9120" s="6" t="s">
        <v>9070</v>
      </c>
    </row>
    <row r="9121" spans="1:2" x14ac:dyDescent="0.3">
      <c r="A9121" s="7" t="str">
        <f>HYPERLINK("http://www.eatonpowersource.com/products/configure/industrial%20valves/details/02-399025","02-399025")</f>
        <v>02-399025</v>
      </c>
      <c r="B9121" s="8" t="s">
        <v>9071</v>
      </c>
    </row>
    <row r="9122" spans="1:2" x14ac:dyDescent="0.3">
      <c r="A9122" s="5" t="str">
        <f>HYPERLINK("http://www.eatonpowersource.com/products/configure/industrial%20valves/details/02-399118","02-399118")</f>
        <v>02-399118</v>
      </c>
      <c r="B9122" s="6" t="s">
        <v>9072</v>
      </c>
    </row>
    <row r="9123" spans="1:2" x14ac:dyDescent="0.3">
      <c r="A9123" s="7" t="str">
        <f>HYPERLINK("http://www.eatonpowersource.com/products/configure/industrial%20valves/details/02-399937","02-399937")</f>
        <v>02-399937</v>
      </c>
      <c r="B9123" s="8" t="s">
        <v>9073</v>
      </c>
    </row>
    <row r="9124" spans="1:2" x14ac:dyDescent="0.3">
      <c r="A9124" s="5" t="str">
        <f>HYPERLINK("http://www.eatonpowersource.com/products/configure/industrial%20valves/details/02-400046","02-400046")</f>
        <v>02-400046</v>
      </c>
      <c r="B9124" s="6" t="s">
        <v>9074</v>
      </c>
    </row>
    <row r="9125" spans="1:2" x14ac:dyDescent="0.3">
      <c r="A9125" s="7" t="str">
        <f>HYPERLINK("http://www.eatonpowersource.com/products/configure/industrial%20valves/details/02-400047","02-400047")</f>
        <v>02-400047</v>
      </c>
      <c r="B9125" s="8" t="s">
        <v>9075</v>
      </c>
    </row>
    <row r="9126" spans="1:2" x14ac:dyDescent="0.3">
      <c r="A9126" s="5" t="str">
        <f>HYPERLINK("http://www.eatonpowersource.com/products/configure/industrial%20valves/details/02-400048","02-400048")</f>
        <v>02-400048</v>
      </c>
      <c r="B9126" s="6" t="s">
        <v>9076</v>
      </c>
    </row>
    <row r="9127" spans="1:2" x14ac:dyDescent="0.3">
      <c r="A9127" s="7" t="str">
        <f>HYPERLINK("http://www.eatonpowersource.com/products/configure/industrial%20valves/details/02-400049","02-400049")</f>
        <v>02-400049</v>
      </c>
      <c r="B9127" s="8" t="s">
        <v>9077</v>
      </c>
    </row>
    <row r="9128" spans="1:2" x14ac:dyDescent="0.3">
      <c r="A9128" s="5" t="str">
        <f>HYPERLINK("http://www.eatonpowersource.com/products/configure/industrial%20valves/details/02-401817","02-401817")</f>
        <v>02-401817</v>
      </c>
      <c r="B9128" s="6" t="s">
        <v>9078</v>
      </c>
    </row>
    <row r="9129" spans="1:2" x14ac:dyDescent="0.3">
      <c r="A9129" s="7" t="str">
        <f>HYPERLINK("http://www.eatonpowersource.com/products/configure/industrial%20valves/details/02-402051","02-402051")</f>
        <v>02-402051</v>
      </c>
      <c r="B9129" s="8" t="s">
        <v>9079</v>
      </c>
    </row>
    <row r="9130" spans="1:2" x14ac:dyDescent="0.3">
      <c r="A9130" s="5" t="str">
        <f>HYPERLINK("http://www.eatonpowersource.com/products/configure/industrial%20valves/details/6043339-001","6043339-001")</f>
        <v>6043339-001</v>
      </c>
      <c r="B9130" s="6" t="s">
        <v>9080</v>
      </c>
    </row>
    <row r="9131" spans="1:2" x14ac:dyDescent="0.3">
      <c r="A9131" s="7" t="str">
        <f>HYPERLINK("http://www.eatonpowersource.com/products/configure/industrial%20valves/details/836an00107a","836AN00107A")</f>
        <v>836AN00107A</v>
      </c>
      <c r="B9131" s="8" t="s">
        <v>9081</v>
      </c>
    </row>
    <row r="9132" spans="1:2" x14ac:dyDescent="0.3">
      <c r="A9132" s="5" t="str">
        <f>HYPERLINK("http://www.eatonpowersource.com/products/configure/industrial%20valves/details/836an00611a","836AN00611A")</f>
        <v>836AN00611A</v>
      </c>
      <c r="B9132" s="6" t="s">
        <v>9082</v>
      </c>
    </row>
    <row r="9133" spans="1:2" x14ac:dyDescent="0.3">
      <c r="A9133" s="7" t="str">
        <f>HYPERLINK("http://www.eatonpowersource.com/products/configure/industrial%20valves/details/837an00036a","837AN00036A")</f>
        <v>837AN00036A</v>
      </c>
      <c r="B9133" s="8" t="s">
        <v>9083</v>
      </c>
    </row>
    <row r="9134" spans="1:2" x14ac:dyDescent="0.3">
      <c r="A9134" s="5" t="str">
        <f>HYPERLINK("http://www.eatonpowersource.com/products/configure/industrial%20valves/details/837an00038a","837AN00038A")</f>
        <v>837AN00038A</v>
      </c>
      <c r="B9134" s="6" t="s">
        <v>9084</v>
      </c>
    </row>
    <row r="9135" spans="1:2" x14ac:dyDescent="0.3">
      <c r="A9135" s="7" t="str">
        <f>HYPERLINK("http://www.eatonpowersource.com/products/configure/industrial%20valves/details/02-135165","02-135165")</f>
        <v>02-135165</v>
      </c>
      <c r="B9135" s="8" t="s">
        <v>9085</v>
      </c>
    </row>
    <row r="9136" spans="1:2" x14ac:dyDescent="0.3">
      <c r="A9136" s="5" t="str">
        <f>HYPERLINK("http://www.eatonpowersource.com/products/configure/industrial%20valves/details/02-148871","02-148871")</f>
        <v>02-148871</v>
      </c>
      <c r="B9136" s="6" t="s">
        <v>9086</v>
      </c>
    </row>
    <row r="9137" spans="1:2" x14ac:dyDescent="0.3">
      <c r="A9137" s="7" t="str">
        <f>HYPERLINK("http://www.eatonpowersource.com/products/configure/industrial%20valves/details/02-309901","02-309901")</f>
        <v>02-309901</v>
      </c>
      <c r="B9137" s="8" t="s">
        <v>9087</v>
      </c>
    </row>
    <row r="9138" spans="1:2" x14ac:dyDescent="0.3">
      <c r="A9138" s="5" t="str">
        <f>HYPERLINK("http://www.eatonpowersource.com/products/configure/industrial%20valves/details/02-310275","02-310275")</f>
        <v>02-310275</v>
      </c>
      <c r="B9138" s="6" t="s">
        <v>9088</v>
      </c>
    </row>
    <row r="9139" spans="1:2" x14ac:dyDescent="0.3">
      <c r="A9139" s="7" t="str">
        <f>HYPERLINK("http://www.eatonpowersource.com/products/configure/industrial%20valves/details/02-321545","02-321545")</f>
        <v>02-321545</v>
      </c>
      <c r="B9139" s="8" t="s">
        <v>9089</v>
      </c>
    </row>
    <row r="9140" spans="1:2" x14ac:dyDescent="0.3">
      <c r="A9140" s="5" t="str">
        <f>HYPERLINK("http://www.eatonpowersource.com/products/configure/industrial%20valves/details/02-364189","02-364189")</f>
        <v>02-364189</v>
      </c>
      <c r="B9140" s="6" t="s">
        <v>9090</v>
      </c>
    </row>
    <row r="9141" spans="1:2" x14ac:dyDescent="0.3">
      <c r="A9141" s="7" t="str">
        <f>HYPERLINK("http://www.eatonpowersource.com/products/configure/industrial%20valves/details/02-396733","02-396733")</f>
        <v>02-396733</v>
      </c>
      <c r="B9141" s="8" t="s">
        <v>9091</v>
      </c>
    </row>
    <row r="9142" spans="1:2" x14ac:dyDescent="0.3">
      <c r="A9142" s="5" t="str">
        <f>HYPERLINK("http://www.eatonpowersource.com/products/configure/industrial%20valves/details/02-396736","02-396736")</f>
        <v>02-396736</v>
      </c>
      <c r="B9142" s="6" t="s">
        <v>9092</v>
      </c>
    </row>
    <row r="9143" spans="1:2" x14ac:dyDescent="0.3">
      <c r="A9143" s="7" t="str">
        <f>HYPERLINK("http://www.eatonpowersource.com/products/configure/industrial%20valves/details/02-396739","02-396739")</f>
        <v>02-396739</v>
      </c>
      <c r="B9143" s="8" t="s">
        <v>9093</v>
      </c>
    </row>
    <row r="9144" spans="1:2" x14ac:dyDescent="0.3">
      <c r="A9144" s="5" t="str">
        <f>HYPERLINK("http://www.eatonpowersource.com/products/configure/industrial%20valves/details/02-396743","02-396743")</f>
        <v>02-396743</v>
      </c>
      <c r="B9144" s="6" t="s">
        <v>9094</v>
      </c>
    </row>
    <row r="9145" spans="1:2" x14ac:dyDescent="0.3">
      <c r="A9145" s="7" t="str">
        <f>HYPERLINK("http://www.eatonpowersource.com/products/configure/industrial%20valves/details/02-396744","02-396744")</f>
        <v>02-396744</v>
      </c>
      <c r="B9145" s="8" t="s">
        <v>9095</v>
      </c>
    </row>
    <row r="9146" spans="1:2" x14ac:dyDescent="0.3">
      <c r="A9146" s="5" t="str">
        <f>HYPERLINK("http://www.eatonpowersource.com/products/configure/industrial%20valves/details/02-398331","02-398331")</f>
        <v>02-398331</v>
      </c>
      <c r="B9146" s="6" t="s">
        <v>9096</v>
      </c>
    </row>
    <row r="9147" spans="1:2" x14ac:dyDescent="0.3">
      <c r="A9147" s="7" t="str">
        <f>HYPERLINK("http://www.eatonpowersource.com/products/configure/industrial%20valves/details/02-398559","02-398559")</f>
        <v>02-398559</v>
      </c>
      <c r="B9147" s="8" t="s">
        <v>9097</v>
      </c>
    </row>
    <row r="9148" spans="1:2" x14ac:dyDescent="0.3">
      <c r="A9148" s="5" t="str">
        <f>HYPERLINK("http://www.eatonpowersource.com/products/configure/industrial%20valves/details/02-398750","02-398750")</f>
        <v>02-398750</v>
      </c>
      <c r="B9148" s="6" t="s">
        <v>9098</v>
      </c>
    </row>
    <row r="9149" spans="1:2" x14ac:dyDescent="0.3">
      <c r="A9149" s="7" t="str">
        <f>HYPERLINK("http://www.eatonpowersource.com/products/configure/industrial%20valves/details/02-398752","02-398752")</f>
        <v>02-398752</v>
      </c>
      <c r="B9149" s="8" t="s">
        <v>9099</v>
      </c>
    </row>
    <row r="9150" spans="1:2" x14ac:dyDescent="0.3">
      <c r="A9150" s="5" t="str">
        <f>HYPERLINK("http://www.eatonpowersource.com/products/configure/industrial%20valves/details/02-399155","02-399155")</f>
        <v>02-399155</v>
      </c>
      <c r="B9150" s="6" t="s">
        <v>9100</v>
      </c>
    </row>
    <row r="9151" spans="1:2" x14ac:dyDescent="0.3">
      <c r="A9151" s="7" t="str">
        <f>HYPERLINK("http://www.eatonpowersource.com/products/configure/industrial%20valves/details/02-401205","02-401205")</f>
        <v>02-401205</v>
      </c>
      <c r="B9151" s="8" t="s">
        <v>9101</v>
      </c>
    </row>
    <row r="9152" spans="1:2" x14ac:dyDescent="0.3">
      <c r="A9152" s="5" t="str">
        <f>HYPERLINK("http://www.eatonpowersource.com/products/configure/industrial%20valves/details/02-402054","02-402054")</f>
        <v>02-402054</v>
      </c>
      <c r="B9152" s="6" t="s">
        <v>9102</v>
      </c>
    </row>
    <row r="9153" spans="1:2" x14ac:dyDescent="0.3">
      <c r="A9153" s="7" t="str">
        <f>HYPERLINK("http://www.eatonpowersource.com/products/configure/industrial%20valves/details/02-402140","02-402140")</f>
        <v>02-402140</v>
      </c>
      <c r="B9153" s="8" t="s">
        <v>9103</v>
      </c>
    </row>
    <row r="9154" spans="1:2" x14ac:dyDescent="0.3">
      <c r="A9154" s="5" t="str">
        <f>HYPERLINK("http://www.eatonpowersource.com/products/configure/industrial%20valves/details/02-402142","02-402142")</f>
        <v>02-402142</v>
      </c>
      <c r="B9154" s="6" t="s">
        <v>9104</v>
      </c>
    </row>
    <row r="9155" spans="1:2" x14ac:dyDescent="0.3">
      <c r="A9155" s="7" t="str">
        <f>HYPERLINK("http://www.eatonpowersource.com/products/configure/industrial%20valves/details/821an00015b","821AN00015B")</f>
        <v>821AN00015B</v>
      </c>
      <c r="B9155" s="8" t="s">
        <v>9105</v>
      </c>
    </row>
    <row r="9156" spans="1:2" x14ac:dyDescent="0.3">
      <c r="A9156" s="5" t="str">
        <f>HYPERLINK("http://www.eatonpowersource.com/products/configure/industrial%20valves/details/864an00125a","864AN00125A")</f>
        <v>864AN00125A</v>
      </c>
      <c r="B9156" s="6" t="s">
        <v>9106</v>
      </c>
    </row>
    <row r="9157" spans="1:2" x14ac:dyDescent="0.3">
      <c r="A9157" s="7" t="str">
        <f>HYPERLINK("http://www.eatonpowersource.com/products/configure/industrial%20valves/details/02-108045","02-108045")</f>
        <v>02-108045</v>
      </c>
      <c r="B9157" s="8" t="s">
        <v>9107</v>
      </c>
    </row>
    <row r="9158" spans="1:2" x14ac:dyDescent="0.3">
      <c r="A9158" s="5" t="str">
        <f>HYPERLINK("http://www.eatonpowersource.com/products/configure/industrial%20valves/details/02-108095","02-108095")</f>
        <v>02-108095</v>
      </c>
      <c r="B9158" s="6" t="s">
        <v>9108</v>
      </c>
    </row>
    <row r="9159" spans="1:2" x14ac:dyDescent="0.3">
      <c r="A9159" s="7" t="str">
        <f>HYPERLINK("http://www.eatonpowersource.com/products/configure/industrial%20valves/details/02-109493","02-109493")</f>
        <v>02-109493</v>
      </c>
      <c r="B9159" s="8" t="s">
        <v>9109</v>
      </c>
    </row>
    <row r="9160" spans="1:2" x14ac:dyDescent="0.3">
      <c r="A9160" s="5" t="str">
        <f>HYPERLINK("http://www.eatonpowersource.com/products/configure/industrial%20valves/details/02-110353","02-110353")</f>
        <v>02-110353</v>
      </c>
      <c r="B9160" s="6" t="s">
        <v>9110</v>
      </c>
    </row>
    <row r="9161" spans="1:2" x14ac:dyDescent="0.3">
      <c r="A9161" s="7" t="str">
        <f>HYPERLINK("http://www.eatonpowersource.com/products/configure/industrial%20valves/details/02-110359","02-110359")</f>
        <v>02-110359</v>
      </c>
      <c r="B9161" s="8" t="s">
        <v>9111</v>
      </c>
    </row>
    <row r="9162" spans="1:2" x14ac:dyDescent="0.3">
      <c r="A9162" s="5" t="str">
        <f>HYPERLINK("http://www.eatonpowersource.com/products/configure/industrial%20valves/details/02-110416","02-110416")</f>
        <v>02-110416</v>
      </c>
      <c r="B9162" s="6" t="s">
        <v>9112</v>
      </c>
    </row>
    <row r="9163" spans="1:2" x14ac:dyDescent="0.3">
      <c r="A9163" s="7" t="str">
        <f>HYPERLINK("http://www.eatonpowersource.com/products/configure/industrial%20valves/details/02-119751","02-119751")</f>
        <v>02-119751</v>
      </c>
      <c r="B9163" s="8" t="s">
        <v>9113</v>
      </c>
    </row>
    <row r="9164" spans="1:2" x14ac:dyDescent="0.3">
      <c r="A9164" s="5" t="str">
        <f>HYPERLINK("http://www.eatonpowersource.com/products/configure/industrial%20valves/details/02-120018","02-120018")</f>
        <v>02-120018</v>
      </c>
      <c r="B9164" s="6" t="s">
        <v>9114</v>
      </c>
    </row>
    <row r="9165" spans="1:2" x14ac:dyDescent="0.3">
      <c r="A9165" s="7" t="str">
        <f>HYPERLINK("http://www.eatonpowersource.com/products/configure/industrial%20valves/details/02-127342","02-127342")</f>
        <v>02-127342</v>
      </c>
      <c r="B9165" s="8" t="s">
        <v>9115</v>
      </c>
    </row>
    <row r="9166" spans="1:2" x14ac:dyDescent="0.3">
      <c r="A9166" s="5" t="str">
        <f>HYPERLINK("http://www.eatonpowersource.com/products/configure/industrial%20valves/details/02-127343","02-127343")</f>
        <v>02-127343</v>
      </c>
      <c r="B9166" s="6" t="s">
        <v>9116</v>
      </c>
    </row>
    <row r="9167" spans="1:2" x14ac:dyDescent="0.3">
      <c r="A9167" s="7" t="str">
        <f>HYPERLINK("http://www.eatonpowersource.com/products/configure/industrial%20valves/details/02-127344","02-127344")</f>
        <v>02-127344</v>
      </c>
      <c r="B9167" s="8" t="s">
        <v>9117</v>
      </c>
    </row>
    <row r="9168" spans="1:2" x14ac:dyDescent="0.3">
      <c r="A9168" s="5" t="str">
        <f>HYPERLINK("http://www.eatonpowersource.com/products/configure/industrial%20valves/details/02-127357","02-127357")</f>
        <v>02-127357</v>
      </c>
      <c r="B9168" s="6" t="s">
        <v>9118</v>
      </c>
    </row>
    <row r="9169" spans="1:2" x14ac:dyDescent="0.3">
      <c r="A9169" s="7" t="str">
        <f>HYPERLINK("http://www.eatonpowersource.com/products/configure/industrial%20valves/details/02-127358","02-127358")</f>
        <v>02-127358</v>
      </c>
      <c r="B9169" s="8" t="s">
        <v>9119</v>
      </c>
    </row>
    <row r="9170" spans="1:2" x14ac:dyDescent="0.3">
      <c r="A9170" s="5" t="str">
        <f>HYPERLINK("http://www.eatonpowersource.com/products/configure/industrial%20valves/details/02-127770","02-127770")</f>
        <v>02-127770</v>
      </c>
      <c r="B9170" s="6" t="s">
        <v>9120</v>
      </c>
    </row>
    <row r="9171" spans="1:2" x14ac:dyDescent="0.3">
      <c r="A9171" s="7" t="str">
        <f>HYPERLINK("http://www.eatonpowersource.com/products/configure/industrial%20valves/details/02-127784","02-127784")</f>
        <v>02-127784</v>
      </c>
      <c r="B9171" s="8" t="s">
        <v>9121</v>
      </c>
    </row>
    <row r="9172" spans="1:2" x14ac:dyDescent="0.3">
      <c r="A9172" s="5" t="str">
        <f>HYPERLINK("http://www.eatonpowersource.com/products/configure/industrial%20valves/details/02-127971","02-127971")</f>
        <v>02-127971</v>
      </c>
      <c r="B9172" s="6" t="s">
        <v>9122</v>
      </c>
    </row>
    <row r="9173" spans="1:2" x14ac:dyDescent="0.3">
      <c r="A9173" s="7" t="str">
        <f>HYPERLINK("http://www.eatonpowersource.com/products/configure/industrial%20valves/details/02-135231","02-135231")</f>
        <v>02-135231</v>
      </c>
      <c r="B9173" s="8" t="s">
        <v>9123</v>
      </c>
    </row>
    <row r="9174" spans="1:2" x14ac:dyDescent="0.3">
      <c r="A9174" s="5" t="str">
        <f>HYPERLINK("http://www.eatonpowersource.com/products/configure/industrial%20valves/details/02-135314","02-135314")</f>
        <v>02-135314</v>
      </c>
      <c r="B9174" s="6" t="s">
        <v>9124</v>
      </c>
    </row>
    <row r="9175" spans="1:2" x14ac:dyDescent="0.3">
      <c r="A9175" s="7" t="str">
        <f>HYPERLINK("http://www.eatonpowersource.com/products/configure/industrial%20valves/details/02-135315","02-135315")</f>
        <v>02-135315</v>
      </c>
      <c r="B9175" s="8" t="s">
        <v>9125</v>
      </c>
    </row>
    <row r="9176" spans="1:2" x14ac:dyDescent="0.3">
      <c r="A9176" s="5" t="str">
        <f>HYPERLINK("http://www.eatonpowersource.com/products/configure/industrial%20valves/details/02-135316","02-135316")</f>
        <v>02-135316</v>
      </c>
      <c r="B9176" s="6" t="s">
        <v>9126</v>
      </c>
    </row>
    <row r="9177" spans="1:2" x14ac:dyDescent="0.3">
      <c r="A9177" s="7" t="str">
        <f>HYPERLINK("http://www.eatonpowersource.com/products/configure/industrial%20valves/details/02-135317","02-135317")</f>
        <v>02-135317</v>
      </c>
      <c r="B9177" s="8" t="s">
        <v>9127</v>
      </c>
    </row>
    <row r="9178" spans="1:2" x14ac:dyDescent="0.3">
      <c r="A9178" s="5" t="str">
        <f>HYPERLINK("http://www.eatonpowersource.com/products/configure/industrial%20valves/details/02-135673","02-135673")</f>
        <v>02-135673</v>
      </c>
      <c r="B9178" s="6" t="s">
        <v>9128</v>
      </c>
    </row>
    <row r="9179" spans="1:2" x14ac:dyDescent="0.3">
      <c r="A9179" s="7" t="str">
        <f>HYPERLINK("http://www.eatonpowersource.com/products/configure/industrial%20valves/details/02-137946","02-137946")</f>
        <v>02-137946</v>
      </c>
      <c r="B9179" s="8" t="s">
        <v>9129</v>
      </c>
    </row>
    <row r="9180" spans="1:2" x14ac:dyDescent="0.3">
      <c r="A9180" s="5" t="str">
        <f>HYPERLINK("http://www.eatonpowersource.com/products/configure/industrial%20valves/details/02-138832","02-138832")</f>
        <v>02-138832</v>
      </c>
      <c r="B9180" s="6" t="s">
        <v>9130</v>
      </c>
    </row>
    <row r="9181" spans="1:2" x14ac:dyDescent="0.3">
      <c r="A9181" s="7" t="str">
        <f>HYPERLINK("http://www.eatonpowersource.com/products/configure/industrial%20valves/details/02-138871","02-138871")</f>
        <v>02-138871</v>
      </c>
      <c r="B9181" s="8" t="s">
        <v>9131</v>
      </c>
    </row>
    <row r="9182" spans="1:2" x14ac:dyDescent="0.3">
      <c r="A9182" s="5" t="str">
        <f>HYPERLINK("http://www.eatonpowersource.com/products/configure/industrial%20valves/details/02-139078","02-139078")</f>
        <v>02-139078</v>
      </c>
      <c r="B9182" s="6" t="s">
        <v>9132</v>
      </c>
    </row>
    <row r="9183" spans="1:2" x14ac:dyDescent="0.3">
      <c r="A9183" s="7" t="str">
        <f>HYPERLINK("http://www.eatonpowersource.com/products/configure/industrial%20valves/details/02-140002","02-140002")</f>
        <v>02-140002</v>
      </c>
      <c r="B9183" s="8" t="s">
        <v>9133</v>
      </c>
    </row>
    <row r="9184" spans="1:2" x14ac:dyDescent="0.3">
      <c r="A9184" s="5" t="str">
        <f>HYPERLINK("http://www.eatonpowersource.com/products/configure/industrial%20valves/details/02-140260","02-140260")</f>
        <v>02-140260</v>
      </c>
      <c r="B9184" s="6" t="s">
        <v>9134</v>
      </c>
    </row>
    <row r="9185" spans="1:2" x14ac:dyDescent="0.3">
      <c r="A9185" s="7" t="str">
        <f>HYPERLINK("http://www.eatonpowersource.com/products/configure/industrial%20valves/details/02-140909","02-140909")</f>
        <v>02-140909</v>
      </c>
      <c r="B9185" s="8" t="s">
        <v>9135</v>
      </c>
    </row>
    <row r="9186" spans="1:2" x14ac:dyDescent="0.3">
      <c r="A9186" s="5" t="str">
        <f>HYPERLINK("http://www.eatonpowersource.com/products/configure/industrial%20valves/details/02-141609","02-141609")</f>
        <v>02-141609</v>
      </c>
      <c r="B9186" s="6" t="s">
        <v>9136</v>
      </c>
    </row>
    <row r="9187" spans="1:2" x14ac:dyDescent="0.3">
      <c r="A9187" s="7" t="str">
        <f>HYPERLINK("http://www.eatonpowersource.com/products/configure/industrial%20valves/details/02-143783","02-143783")</f>
        <v>02-143783</v>
      </c>
      <c r="B9187" s="8" t="s">
        <v>9137</v>
      </c>
    </row>
    <row r="9188" spans="1:2" x14ac:dyDescent="0.3">
      <c r="A9188" s="5" t="str">
        <f>HYPERLINK("http://www.eatonpowersource.com/products/configure/industrial%20valves/details/02-143805","02-143805")</f>
        <v>02-143805</v>
      </c>
      <c r="B9188" s="6" t="s">
        <v>9138</v>
      </c>
    </row>
    <row r="9189" spans="1:2" x14ac:dyDescent="0.3">
      <c r="A9189" s="7" t="str">
        <f>HYPERLINK("http://www.eatonpowersource.com/products/configure/industrial%20valves/details/02-144070","02-144070")</f>
        <v>02-144070</v>
      </c>
      <c r="B9189" s="8" t="s">
        <v>9139</v>
      </c>
    </row>
    <row r="9190" spans="1:2" x14ac:dyDescent="0.3">
      <c r="A9190" s="5" t="str">
        <f>HYPERLINK("http://www.eatonpowersource.com/products/configure/industrial%20valves/details/02-144196","02-144196")</f>
        <v>02-144196</v>
      </c>
      <c r="B9190" s="6" t="s">
        <v>9140</v>
      </c>
    </row>
    <row r="9191" spans="1:2" x14ac:dyDescent="0.3">
      <c r="A9191" s="7" t="str">
        <f>HYPERLINK("http://www.eatonpowersource.com/products/configure/industrial%20valves/details/02-144979","02-144979")</f>
        <v>02-144979</v>
      </c>
      <c r="B9191" s="8" t="s">
        <v>9141</v>
      </c>
    </row>
    <row r="9192" spans="1:2" x14ac:dyDescent="0.3">
      <c r="A9192" s="5" t="str">
        <f>HYPERLINK("http://www.eatonpowersource.com/products/configure/industrial%20valves/details/02-145115","02-145115")</f>
        <v>02-145115</v>
      </c>
      <c r="B9192" s="6" t="s">
        <v>9142</v>
      </c>
    </row>
    <row r="9193" spans="1:2" x14ac:dyDescent="0.3">
      <c r="A9193" s="7" t="str">
        <f>HYPERLINK("http://www.eatonpowersource.com/products/configure/industrial%20valves/details/02-145116","02-145116")</f>
        <v>02-145116</v>
      </c>
      <c r="B9193" s="8" t="s">
        <v>9143</v>
      </c>
    </row>
    <row r="9194" spans="1:2" x14ac:dyDescent="0.3">
      <c r="A9194" s="5" t="str">
        <f>HYPERLINK("http://www.eatonpowersource.com/products/configure/industrial%20valves/details/02-146784","02-146784")</f>
        <v>02-146784</v>
      </c>
      <c r="B9194" s="6" t="s">
        <v>9144</v>
      </c>
    </row>
    <row r="9195" spans="1:2" x14ac:dyDescent="0.3">
      <c r="A9195" s="7" t="str">
        <f>HYPERLINK("http://www.eatonpowersource.com/products/configure/industrial%20valves/details/02-146885","02-146885")</f>
        <v>02-146885</v>
      </c>
      <c r="B9195" s="8" t="s">
        <v>9145</v>
      </c>
    </row>
    <row r="9196" spans="1:2" x14ac:dyDescent="0.3">
      <c r="A9196" s="5" t="str">
        <f>HYPERLINK("http://www.eatonpowersource.com/products/configure/industrial%20valves/details/02-147442","02-147442")</f>
        <v>02-147442</v>
      </c>
      <c r="B9196" s="6" t="s">
        <v>9146</v>
      </c>
    </row>
    <row r="9197" spans="1:2" x14ac:dyDescent="0.3">
      <c r="A9197" s="7" t="str">
        <f>HYPERLINK("http://www.eatonpowersource.com/products/configure/industrial%20valves/details/02-147979","02-147979")</f>
        <v>02-147979</v>
      </c>
      <c r="B9197" s="8" t="s">
        <v>9147</v>
      </c>
    </row>
    <row r="9198" spans="1:2" x14ac:dyDescent="0.3">
      <c r="A9198" s="5" t="str">
        <f>HYPERLINK("http://www.eatonpowersource.com/products/configure/industrial%20valves/details/02-149004","02-149004")</f>
        <v>02-149004</v>
      </c>
      <c r="B9198" s="6" t="s">
        <v>9148</v>
      </c>
    </row>
    <row r="9199" spans="1:2" x14ac:dyDescent="0.3">
      <c r="A9199" s="7" t="str">
        <f>HYPERLINK("http://www.eatonpowersource.com/products/configure/industrial%20valves/details/02-149005","02-149005")</f>
        <v>02-149005</v>
      </c>
      <c r="B9199" s="8" t="s">
        <v>9149</v>
      </c>
    </row>
    <row r="9200" spans="1:2" x14ac:dyDescent="0.3">
      <c r="A9200" s="5" t="str">
        <f>HYPERLINK("http://www.eatonpowersource.com/products/configure/industrial%20valves/details/02-149288","02-149288")</f>
        <v>02-149288</v>
      </c>
      <c r="B9200" s="6" t="s">
        <v>9150</v>
      </c>
    </row>
    <row r="9201" spans="1:2" x14ac:dyDescent="0.3">
      <c r="A9201" s="7" t="str">
        <f>HYPERLINK("http://www.eatonpowersource.com/products/configure/industrial%20valves/details/02-154597","02-154597")</f>
        <v>02-154597</v>
      </c>
      <c r="B9201" s="8" t="s">
        <v>9151</v>
      </c>
    </row>
    <row r="9202" spans="1:2" x14ac:dyDescent="0.3">
      <c r="A9202" s="5" t="str">
        <f>HYPERLINK("http://www.eatonpowersource.com/products/configure/industrial%20valves/details/02-154882","02-154882")</f>
        <v>02-154882</v>
      </c>
      <c r="B9202" s="6" t="s">
        <v>9152</v>
      </c>
    </row>
    <row r="9203" spans="1:2" x14ac:dyDescent="0.3">
      <c r="A9203" s="7" t="str">
        <f>HYPERLINK("http://www.eatonpowersource.com/products/configure/industrial%20valves/details/02-155008","02-155008")</f>
        <v>02-155008</v>
      </c>
      <c r="B9203" s="8" t="s">
        <v>9153</v>
      </c>
    </row>
    <row r="9204" spans="1:2" x14ac:dyDescent="0.3">
      <c r="A9204" s="5" t="str">
        <f>HYPERLINK("http://www.eatonpowersource.com/products/configure/industrial%20valves/details/02-155393","02-155393")</f>
        <v>02-155393</v>
      </c>
      <c r="B9204" s="6" t="s">
        <v>9154</v>
      </c>
    </row>
    <row r="9205" spans="1:2" x14ac:dyDescent="0.3">
      <c r="A9205" s="7" t="str">
        <f>HYPERLINK("http://www.eatonpowersource.com/products/configure/industrial%20valves/details/02-300622","02-300622")</f>
        <v>02-300622</v>
      </c>
      <c r="B9205" s="8" t="s">
        <v>9155</v>
      </c>
    </row>
    <row r="9206" spans="1:2" x14ac:dyDescent="0.3">
      <c r="A9206" s="5" t="str">
        <f>HYPERLINK("http://www.eatonpowersource.com/products/configure/industrial%20valves/details/02-300678","02-300678")</f>
        <v>02-300678</v>
      </c>
      <c r="B9206" s="6" t="s">
        <v>9156</v>
      </c>
    </row>
    <row r="9207" spans="1:2" x14ac:dyDescent="0.3">
      <c r="A9207" s="7" t="str">
        <f>HYPERLINK("http://www.eatonpowersource.com/products/configure/industrial%20valves/details/02-304459","02-304459")</f>
        <v>02-304459</v>
      </c>
      <c r="B9207" s="8" t="s">
        <v>9157</v>
      </c>
    </row>
    <row r="9208" spans="1:2" x14ac:dyDescent="0.3">
      <c r="A9208" s="5" t="str">
        <f>HYPERLINK("http://www.eatonpowersource.com/products/configure/industrial%20valves/details/02-304595","02-304595")</f>
        <v>02-304595</v>
      </c>
      <c r="B9208" s="6" t="s">
        <v>9158</v>
      </c>
    </row>
    <row r="9209" spans="1:2" x14ac:dyDescent="0.3">
      <c r="A9209" s="7" t="str">
        <f>HYPERLINK("http://www.eatonpowersource.com/products/configure/industrial%20valves/details/02-304596","02-304596")</f>
        <v>02-304596</v>
      </c>
      <c r="B9209" s="8" t="s">
        <v>9159</v>
      </c>
    </row>
    <row r="9210" spans="1:2" x14ac:dyDescent="0.3">
      <c r="A9210" s="5" t="str">
        <f>HYPERLINK("http://www.eatonpowersource.com/products/configure/industrial%20valves/details/02-304680","02-304680")</f>
        <v>02-304680</v>
      </c>
      <c r="B9210" s="6" t="s">
        <v>9160</v>
      </c>
    </row>
    <row r="9211" spans="1:2" x14ac:dyDescent="0.3">
      <c r="A9211" s="7" t="str">
        <f>HYPERLINK("http://www.eatonpowersource.com/products/configure/industrial%20valves/details/02-305134","02-305134")</f>
        <v>02-305134</v>
      </c>
      <c r="B9211" s="8" t="s">
        <v>9161</v>
      </c>
    </row>
    <row r="9212" spans="1:2" x14ac:dyDescent="0.3">
      <c r="A9212" s="5" t="str">
        <f>HYPERLINK("http://www.eatonpowersource.com/products/configure/industrial%20valves/details/02-308670","02-308670")</f>
        <v>02-308670</v>
      </c>
      <c r="B9212" s="6" t="s">
        <v>9162</v>
      </c>
    </row>
    <row r="9213" spans="1:2" x14ac:dyDescent="0.3">
      <c r="A9213" s="7" t="str">
        <f>HYPERLINK("http://www.eatonpowersource.com/products/configure/industrial%20valves/details/02-309214","02-309214")</f>
        <v>02-309214</v>
      </c>
      <c r="B9213" s="8" t="s">
        <v>9163</v>
      </c>
    </row>
    <row r="9214" spans="1:2" x14ac:dyDescent="0.3">
      <c r="A9214" s="5" t="str">
        <f>HYPERLINK("http://www.eatonpowersource.com/products/configure/industrial%20valves/details/02-309796","02-309796")</f>
        <v>02-309796</v>
      </c>
      <c r="B9214" s="6" t="s">
        <v>9164</v>
      </c>
    </row>
    <row r="9215" spans="1:2" x14ac:dyDescent="0.3">
      <c r="A9215" s="7" t="str">
        <f>HYPERLINK("http://www.eatonpowersource.com/products/configure/industrial%20valves/details/02-311393","02-311393")</f>
        <v>02-311393</v>
      </c>
      <c r="B9215" s="8" t="s">
        <v>9165</v>
      </c>
    </row>
    <row r="9216" spans="1:2" x14ac:dyDescent="0.3">
      <c r="A9216" s="5" t="str">
        <f>HYPERLINK("http://www.eatonpowersource.com/products/configure/industrial%20valves/details/02-316337","02-316337")</f>
        <v>02-316337</v>
      </c>
      <c r="B9216" s="6" t="s">
        <v>9166</v>
      </c>
    </row>
    <row r="9217" spans="1:2" x14ac:dyDescent="0.3">
      <c r="A9217" s="7" t="str">
        <f>HYPERLINK("http://www.eatonpowersource.com/products/configure/industrial%20valves/details/02-317069","02-317069")</f>
        <v>02-317069</v>
      </c>
      <c r="B9217" s="8" t="s">
        <v>9167</v>
      </c>
    </row>
    <row r="9218" spans="1:2" x14ac:dyDescent="0.3">
      <c r="A9218" s="5" t="str">
        <f>HYPERLINK("http://www.eatonpowersource.com/products/configure/industrial%20valves/details/02-317531","02-317531")</f>
        <v>02-317531</v>
      </c>
      <c r="B9218" s="6" t="s">
        <v>9168</v>
      </c>
    </row>
    <row r="9219" spans="1:2" x14ac:dyDescent="0.3">
      <c r="A9219" s="7" t="str">
        <f>HYPERLINK("http://www.eatonpowersource.com/products/configure/industrial%20valves/details/02-317962","02-317962")</f>
        <v>02-317962</v>
      </c>
      <c r="B9219" s="8" t="s">
        <v>9169</v>
      </c>
    </row>
    <row r="9220" spans="1:2" x14ac:dyDescent="0.3">
      <c r="A9220" s="5" t="str">
        <f>HYPERLINK("http://www.eatonpowersource.com/products/configure/industrial%20valves/details/02-319726","02-319726")</f>
        <v>02-319726</v>
      </c>
      <c r="B9220" s="6" t="s">
        <v>9170</v>
      </c>
    </row>
    <row r="9221" spans="1:2" x14ac:dyDescent="0.3">
      <c r="A9221" s="7" t="str">
        <f>HYPERLINK("http://www.eatonpowersource.com/products/configure/industrial%20valves/details/02-332019","02-332019")</f>
        <v>02-332019</v>
      </c>
      <c r="B9221" s="8" t="s">
        <v>9171</v>
      </c>
    </row>
    <row r="9222" spans="1:2" x14ac:dyDescent="0.3">
      <c r="A9222" s="5" t="str">
        <f>HYPERLINK("http://www.eatonpowersource.com/products/configure/industrial%20valves/details/02-332546","02-332546")</f>
        <v>02-332546</v>
      </c>
      <c r="B9222" s="6" t="s">
        <v>9172</v>
      </c>
    </row>
    <row r="9223" spans="1:2" x14ac:dyDescent="0.3">
      <c r="A9223" s="7" t="str">
        <f>HYPERLINK("http://www.eatonpowersource.com/products/configure/industrial%20valves/details/02-333205","02-333205")</f>
        <v>02-333205</v>
      </c>
      <c r="B9223" s="8" t="s">
        <v>9173</v>
      </c>
    </row>
    <row r="9224" spans="1:2" x14ac:dyDescent="0.3">
      <c r="A9224" s="5" t="str">
        <f>HYPERLINK("http://www.eatonpowersource.com/products/configure/industrial%20valves/details/02-333234","02-333234")</f>
        <v>02-333234</v>
      </c>
      <c r="B9224" s="6" t="s">
        <v>9174</v>
      </c>
    </row>
    <row r="9225" spans="1:2" x14ac:dyDescent="0.3">
      <c r="A9225" s="7" t="str">
        <f>HYPERLINK("http://www.eatonpowersource.com/products/configure/industrial%20valves/details/02-333238","02-333238")</f>
        <v>02-333238</v>
      </c>
      <c r="B9225" s="8" t="s">
        <v>9175</v>
      </c>
    </row>
    <row r="9226" spans="1:2" x14ac:dyDescent="0.3">
      <c r="A9226" s="5" t="str">
        <f>HYPERLINK("http://www.eatonpowersource.com/products/configure/industrial%20valves/details/02-333977","02-333977")</f>
        <v>02-333977</v>
      </c>
      <c r="B9226" s="6" t="s">
        <v>9176</v>
      </c>
    </row>
    <row r="9227" spans="1:2" x14ac:dyDescent="0.3">
      <c r="A9227" s="7" t="str">
        <f>HYPERLINK("http://www.eatonpowersource.com/products/configure/industrial%20valves/details/02-336432","02-336432")</f>
        <v>02-336432</v>
      </c>
      <c r="B9227" s="8" t="s">
        <v>9177</v>
      </c>
    </row>
    <row r="9228" spans="1:2" x14ac:dyDescent="0.3">
      <c r="A9228" s="5" t="str">
        <f>HYPERLINK("http://www.eatonpowersource.com/products/configure/industrial%20valves/details/02-339196","02-339196")</f>
        <v>02-339196</v>
      </c>
      <c r="B9228" s="6" t="s">
        <v>9178</v>
      </c>
    </row>
    <row r="9229" spans="1:2" x14ac:dyDescent="0.3">
      <c r="A9229" s="7" t="str">
        <f>HYPERLINK("http://www.eatonpowersource.com/products/configure/industrial%20valves/details/02-343580","02-343580")</f>
        <v>02-343580</v>
      </c>
      <c r="B9229" s="8" t="s">
        <v>9179</v>
      </c>
    </row>
    <row r="9230" spans="1:2" x14ac:dyDescent="0.3">
      <c r="A9230" s="5" t="str">
        <f>HYPERLINK("http://www.eatonpowersource.com/products/configure/industrial%20valves/details/02-343817","02-343817")</f>
        <v>02-343817</v>
      </c>
      <c r="B9230" s="6" t="s">
        <v>9180</v>
      </c>
    </row>
    <row r="9231" spans="1:2" x14ac:dyDescent="0.3">
      <c r="A9231" s="7" t="str">
        <f>HYPERLINK("http://www.eatonpowersource.com/products/configure/industrial%20valves/details/02-344688","02-344688")</f>
        <v>02-344688</v>
      </c>
      <c r="B9231" s="8" t="s">
        <v>9181</v>
      </c>
    </row>
    <row r="9232" spans="1:2" x14ac:dyDescent="0.3">
      <c r="A9232" s="5" t="str">
        <f>HYPERLINK("http://www.eatonpowersource.com/products/configure/industrial%20valves/details/02-350915","02-350915")</f>
        <v>02-350915</v>
      </c>
      <c r="B9232" s="6" t="s">
        <v>9182</v>
      </c>
    </row>
    <row r="9233" spans="1:2" x14ac:dyDescent="0.3">
      <c r="A9233" s="7" t="str">
        <f>HYPERLINK("http://www.eatonpowersource.com/products/configure/industrial%20valves/details/02-351149","02-351149")</f>
        <v>02-351149</v>
      </c>
      <c r="B9233" s="8" t="s">
        <v>9183</v>
      </c>
    </row>
    <row r="9234" spans="1:2" x14ac:dyDescent="0.3">
      <c r="A9234" s="5" t="str">
        <f>HYPERLINK("http://www.eatonpowersource.com/products/configure/industrial%20valves/details/02-354127","02-354127")</f>
        <v>02-354127</v>
      </c>
      <c r="B9234" s="6" t="s">
        <v>9184</v>
      </c>
    </row>
    <row r="9235" spans="1:2" x14ac:dyDescent="0.3">
      <c r="A9235" s="7" t="str">
        <f>HYPERLINK("http://www.eatonpowersource.com/products/configure/industrial%20valves/details/02-354554","02-354554")</f>
        <v>02-354554</v>
      </c>
      <c r="B9235" s="8" t="s">
        <v>9185</v>
      </c>
    </row>
    <row r="9236" spans="1:2" x14ac:dyDescent="0.3">
      <c r="A9236" s="5" t="str">
        <f>HYPERLINK("http://www.eatonpowersource.com/products/configure/industrial%20valves/details/02-356128","02-356128")</f>
        <v>02-356128</v>
      </c>
      <c r="B9236" s="6" t="s">
        <v>9186</v>
      </c>
    </row>
    <row r="9237" spans="1:2" x14ac:dyDescent="0.3">
      <c r="A9237" s="7" t="str">
        <f>HYPERLINK("http://www.eatonpowersource.com/products/configure/industrial%20valves/details/02-356392","02-356392")</f>
        <v>02-356392</v>
      </c>
      <c r="B9237" s="8" t="s">
        <v>9187</v>
      </c>
    </row>
    <row r="9238" spans="1:2" x14ac:dyDescent="0.3">
      <c r="A9238" s="5" t="str">
        <f>HYPERLINK("http://www.eatonpowersource.com/products/configure/industrial%20valves/details/02-356393","02-356393")</f>
        <v>02-356393</v>
      </c>
      <c r="B9238" s="6" t="s">
        <v>9188</v>
      </c>
    </row>
    <row r="9239" spans="1:2" x14ac:dyDescent="0.3">
      <c r="A9239" s="7" t="str">
        <f>HYPERLINK("http://www.eatonpowersource.com/products/configure/industrial%20valves/details/02-356394","02-356394")</f>
        <v>02-356394</v>
      </c>
      <c r="B9239" s="8" t="s">
        <v>9189</v>
      </c>
    </row>
    <row r="9240" spans="1:2" x14ac:dyDescent="0.3">
      <c r="A9240" s="5" t="str">
        <f>HYPERLINK("http://www.eatonpowersource.com/products/configure/industrial%20valves/details/02-356395","02-356395")</f>
        <v>02-356395</v>
      </c>
      <c r="B9240" s="6" t="s">
        <v>9190</v>
      </c>
    </row>
    <row r="9241" spans="1:2" x14ac:dyDescent="0.3">
      <c r="A9241" s="7" t="str">
        <f>HYPERLINK("http://www.eatonpowersource.com/products/configure/industrial%20valves/details/02-356396","02-356396")</f>
        <v>02-356396</v>
      </c>
      <c r="B9241" s="8" t="s">
        <v>9191</v>
      </c>
    </row>
    <row r="9242" spans="1:2" x14ac:dyDescent="0.3">
      <c r="A9242" s="5" t="str">
        <f>HYPERLINK("http://www.eatonpowersource.com/products/configure/industrial%20valves/details/02-356397","02-356397")</f>
        <v>02-356397</v>
      </c>
      <c r="B9242" s="6" t="s">
        <v>9192</v>
      </c>
    </row>
    <row r="9243" spans="1:2" x14ac:dyDescent="0.3">
      <c r="A9243" s="7" t="str">
        <f>HYPERLINK("http://www.eatonpowersource.com/products/configure/industrial%20valves/details/02-356399","02-356399")</f>
        <v>02-356399</v>
      </c>
      <c r="B9243" s="8" t="s">
        <v>9193</v>
      </c>
    </row>
    <row r="9244" spans="1:2" x14ac:dyDescent="0.3">
      <c r="A9244" s="5" t="str">
        <f>HYPERLINK("http://www.eatonpowersource.com/products/configure/industrial%20valves/details/02-360013","02-360013")</f>
        <v>02-360013</v>
      </c>
      <c r="B9244" s="6" t="s">
        <v>9194</v>
      </c>
    </row>
    <row r="9245" spans="1:2" x14ac:dyDescent="0.3">
      <c r="A9245" s="7" t="str">
        <f>HYPERLINK("http://www.eatonpowersource.com/products/configure/industrial%20valves/details/02-360125","02-360125")</f>
        <v>02-360125</v>
      </c>
      <c r="B9245" s="8" t="s">
        <v>9195</v>
      </c>
    </row>
    <row r="9246" spans="1:2" x14ac:dyDescent="0.3">
      <c r="A9246" s="5" t="str">
        <f>HYPERLINK("http://www.eatonpowersource.com/products/configure/industrial%20valves/details/02-360142","02-360142")</f>
        <v>02-360142</v>
      </c>
      <c r="B9246" s="6" t="s">
        <v>9196</v>
      </c>
    </row>
    <row r="9247" spans="1:2" x14ac:dyDescent="0.3">
      <c r="A9247" s="7" t="str">
        <f>HYPERLINK("http://www.eatonpowersource.com/products/configure/industrial%20valves/details/02-360624","02-360624")</f>
        <v>02-360624</v>
      </c>
      <c r="B9247" s="8" t="s">
        <v>9197</v>
      </c>
    </row>
    <row r="9248" spans="1:2" x14ac:dyDescent="0.3">
      <c r="A9248" s="5" t="str">
        <f>HYPERLINK("http://www.eatonpowersource.com/products/configure/industrial%20valves/details/02-362428","02-362428")</f>
        <v>02-362428</v>
      </c>
      <c r="B9248" s="6" t="s">
        <v>9198</v>
      </c>
    </row>
    <row r="9249" spans="1:2" x14ac:dyDescent="0.3">
      <c r="A9249" s="7" t="str">
        <f>HYPERLINK("http://www.eatonpowersource.com/products/configure/industrial%20valves/details/02-362429","02-362429")</f>
        <v>02-362429</v>
      </c>
      <c r="B9249" s="8" t="s">
        <v>9199</v>
      </c>
    </row>
    <row r="9250" spans="1:2" x14ac:dyDescent="0.3">
      <c r="A9250" s="5" t="str">
        <f>HYPERLINK("http://www.eatonpowersource.com/products/configure/industrial%20valves/details/02-390240","02-390240")</f>
        <v>02-390240</v>
      </c>
      <c r="B9250" s="6" t="s">
        <v>9200</v>
      </c>
    </row>
    <row r="9251" spans="1:2" x14ac:dyDescent="0.3">
      <c r="A9251" s="7" t="str">
        <f>HYPERLINK("http://www.eatonpowersource.com/products/configure/industrial%20valves/details/02-390540","02-390540")</f>
        <v>02-390540</v>
      </c>
      <c r="B9251" s="8" t="s">
        <v>9201</v>
      </c>
    </row>
    <row r="9252" spans="1:2" x14ac:dyDescent="0.3">
      <c r="A9252" s="5" t="str">
        <f>HYPERLINK("http://www.eatonpowersource.com/products/configure/industrial%20valves/details/02-390541","02-390541")</f>
        <v>02-390541</v>
      </c>
      <c r="B9252" s="6" t="s">
        <v>9202</v>
      </c>
    </row>
    <row r="9253" spans="1:2" x14ac:dyDescent="0.3">
      <c r="A9253" s="7" t="str">
        <f>HYPERLINK("http://www.eatonpowersource.com/products/configure/industrial%20valves/details/02-391110","02-391110")</f>
        <v>02-391110</v>
      </c>
      <c r="B9253" s="8" t="s">
        <v>9203</v>
      </c>
    </row>
    <row r="9254" spans="1:2" x14ac:dyDescent="0.3">
      <c r="A9254" s="5" t="str">
        <f>HYPERLINK("http://www.eatonpowersource.com/products/configure/industrial%20valves/details/02-391907","02-391907")</f>
        <v>02-391907</v>
      </c>
      <c r="B9254" s="6" t="s">
        <v>9204</v>
      </c>
    </row>
    <row r="9255" spans="1:2" x14ac:dyDescent="0.3">
      <c r="A9255" s="7" t="str">
        <f>HYPERLINK("http://www.eatonpowersource.com/products/configure/industrial%20valves/details/02-392093","02-392093")</f>
        <v>02-392093</v>
      </c>
      <c r="B9255" s="8" t="s">
        <v>9205</v>
      </c>
    </row>
    <row r="9256" spans="1:2" x14ac:dyDescent="0.3">
      <c r="A9256" s="5" t="str">
        <f>HYPERLINK("http://www.eatonpowersource.com/products/configure/industrial%20valves/details/02-394649","02-394649")</f>
        <v>02-394649</v>
      </c>
      <c r="B9256" s="6" t="s">
        <v>9206</v>
      </c>
    </row>
    <row r="9257" spans="1:2" x14ac:dyDescent="0.3">
      <c r="A9257" s="7" t="str">
        <f>HYPERLINK("http://www.eatonpowersource.com/products/configure/industrial%20valves/details/02-399652","02-399652")</f>
        <v>02-399652</v>
      </c>
      <c r="B9257" s="8" t="s">
        <v>9207</v>
      </c>
    </row>
    <row r="9258" spans="1:2" x14ac:dyDescent="0.3">
      <c r="A9258" s="5" t="str">
        <f>HYPERLINK("http://www.eatonpowersource.com/products/configure/industrial%20valves/details/02-399669","02-399669")</f>
        <v>02-399669</v>
      </c>
      <c r="B9258" s="6" t="s">
        <v>9208</v>
      </c>
    </row>
    <row r="9259" spans="1:2" x14ac:dyDescent="0.3">
      <c r="A9259" s="7" t="str">
        <f>HYPERLINK("http://www.eatonpowersource.com/products/configure/industrial%20valves/details/02-399683","02-399683")</f>
        <v>02-399683</v>
      </c>
      <c r="B9259" s="8" t="s">
        <v>9209</v>
      </c>
    </row>
    <row r="9260" spans="1:2" x14ac:dyDescent="0.3">
      <c r="A9260" s="5" t="str">
        <f>HYPERLINK("http://www.eatonpowersource.com/products/configure/industrial%20valves/details/02-400479","02-400479")</f>
        <v>02-400479</v>
      </c>
      <c r="B9260" s="6" t="s">
        <v>9210</v>
      </c>
    </row>
    <row r="9261" spans="1:2" x14ac:dyDescent="0.3">
      <c r="A9261" s="7" t="str">
        <f>HYPERLINK("http://www.eatonpowersource.com/products/configure/industrial%20valves/details/02-400480","02-400480")</f>
        <v>02-400480</v>
      </c>
      <c r="B9261" s="8" t="s">
        <v>9211</v>
      </c>
    </row>
    <row r="9262" spans="1:2" x14ac:dyDescent="0.3">
      <c r="A9262" s="5" t="str">
        <f>HYPERLINK("http://www.eatonpowersource.com/products/configure/industrial%20valves/details/02-400589","02-400589")</f>
        <v>02-400589</v>
      </c>
      <c r="B9262" s="6" t="s">
        <v>9212</v>
      </c>
    </row>
    <row r="9263" spans="1:2" x14ac:dyDescent="0.3">
      <c r="A9263" s="7" t="str">
        <f>HYPERLINK("http://www.eatonpowersource.com/products/configure/industrial%20valves/details/02-400630","02-400630")</f>
        <v>02-400630</v>
      </c>
      <c r="B9263" s="8" t="s">
        <v>9213</v>
      </c>
    </row>
    <row r="9264" spans="1:2" x14ac:dyDescent="0.3">
      <c r="A9264" s="5" t="str">
        <f>HYPERLINK("http://www.eatonpowersource.com/products/configure/industrial%20valves/details/02-400633","02-400633")</f>
        <v>02-400633</v>
      </c>
      <c r="B9264" s="6" t="s">
        <v>9214</v>
      </c>
    </row>
    <row r="9265" spans="1:2" x14ac:dyDescent="0.3">
      <c r="A9265" s="7" t="str">
        <f>HYPERLINK("http://www.eatonpowersource.com/products/configure/industrial%20valves/details/02-401256","02-401256")</f>
        <v>02-401256</v>
      </c>
      <c r="B9265" s="8" t="s">
        <v>9215</v>
      </c>
    </row>
    <row r="9266" spans="1:2" x14ac:dyDescent="0.3">
      <c r="A9266" s="5" t="str">
        <f>HYPERLINK("http://www.eatonpowersource.com/products/configure/industrial%20valves/details/02-401272","02-401272")</f>
        <v>02-401272</v>
      </c>
      <c r="B9266" s="6" t="s">
        <v>9216</v>
      </c>
    </row>
    <row r="9267" spans="1:2" x14ac:dyDescent="0.3">
      <c r="A9267" s="7" t="str">
        <f>HYPERLINK("http://www.eatonpowersource.com/products/configure/industrial%20valves/details/02-401388","02-401388")</f>
        <v>02-401388</v>
      </c>
      <c r="B9267" s="8" t="s">
        <v>9217</v>
      </c>
    </row>
    <row r="9268" spans="1:2" x14ac:dyDescent="0.3">
      <c r="A9268" s="5" t="str">
        <f>HYPERLINK("http://www.eatonpowersource.com/products/configure/industrial%20valves/details/02-401401","02-401401")</f>
        <v>02-401401</v>
      </c>
      <c r="B9268" s="6" t="s">
        <v>9218</v>
      </c>
    </row>
    <row r="9269" spans="1:2" x14ac:dyDescent="0.3">
      <c r="A9269" s="7" t="str">
        <f>HYPERLINK("http://www.eatonpowersource.com/products/configure/industrial%20valves/details/02-401403","02-401403")</f>
        <v>02-401403</v>
      </c>
      <c r="B9269" s="8" t="s">
        <v>9219</v>
      </c>
    </row>
    <row r="9270" spans="1:2" x14ac:dyDescent="0.3">
      <c r="A9270" s="5" t="str">
        <f>HYPERLINK("http://www.eatonpowersource.com/products/configure/industrial%20valves/details/831an00010a","831AN00010A")</f>
        <v>831AN00010A</v>
      </c>
      <c r="B9270" s="6" t="s">
        <v>9220</v>
      </c>
    </row>
    <row r="9271" spans="1:2" x14ac:dyDescent="0.3">
      <c r="A9271" s="7" t="str">
        <f>HYPERLINK("http://www.eatonpowersource.com/products/configure/industrial%20valves/details/831an00078a","831AN00078A")</f>
        <v>831AN00078A</v>
      </c>
      <c r="B9271" s="8" t="s">
        <v>9221</v>
      </c>
    </row>
    <row r="9272" spans="1:2" x14ac:dyDescent="0.3">
      <c r="A9272" s="5" t="str">
        <f>HYPERLINK("http://www.eatonpowersource.com/products/configure/industrial%20valves/details/833an00266a","833AN00266A")</f>
        <v>833AN00266A</v>
      </c>
      <c r="B9272" s="6" t="s">
        <v>9222</v>
      </c>
    </row>
    <row r="9273" spans="1:2" x14ac:dyDescent="0.3">
      <c r="A9273" s="7" t="str">
        <f>HYPERLINK("http://www.eatonpowersource.com/products/configure/industrial%20valves/details/859167","859167")</f>
        <v>859167</v>
      </c>
      <c r="B9273" s="8" t="s">
        <v>9223</v>
      </c>
    </row>
    <row r="9274" spans="1:2" x14ac:dyDescent="0.3">
      <c r="A9274" s="5" t="str">
        <f>HYPERLINK("http://www.eatonpowersource.com/products/configure/industrial%20valves/details/859257","859257")</f>
        <v>859257</v>
      </c>
      <c r="B9274" s="6" t="s">
        <v>9224</v>
      </c>
    </row>
    <row r="9275" spans="1:2" x14ac:dyDescent="0.3">
      <c r="A9275" s="7" t="str">
        <f>HYPERLINK("http://www.eatonpowersource.com/products/configure/industrial%20valves/details/859497","859497")</f>
        <v>859497</v>
      </c>
      <c r="B9275" s="8" t="s">
        <v>9225</v>
      </c>
    </row>
    <row r="9276" spans="1:2" x14ac:dyDescent="0.3">
      <c r="A9276" s="5" t="str">
        <f>HYPERLINK("http://www.eatonpowersource.com/products/configure/industrial%20valves/details/869975","869975")</f>
        <v>869975</v>
      </c>
      <c r="B9276" s="6" t="s">
        <v>9226</v>
      </c>
    </row>
    <row r="9277" spans="1:2" x14ac:dyDescent="0.3">
      <c r="A9277" s="7" t="str">
        <f>HYPERLINK("http://www.eatonpowersource.com/products/configure/industrial%20valves/details/870116","870116")</f>
        <v>870116</v>
      </c>
      <c r="B9277" s="8" t="s">
        <v>9227</v>
      </c>
    </row>
    <row r="9278" spans="1:2" x14ac:dyDescent="0.3">
      <c r="A9278" s="5" t="str">
        <f>HYPERLINK("http://www.eatonpowersource.com/products/configure/industrial%20valves/details/870160","870160")</f>
        <v>870160</v>
      </c>
      <c r="B9278" s="6" t="s">
        <v>9228</v>
      </c>
    </row>
    <row r="9279" spans="1:2" x14ac:dyDescent="0.3">
      <c r="A9279" s="7" t="str">
        <f>HYPERLINK("http://www.eatonpowersource.com/products/configure/industrial%20valves/details/870328","870328")</f>
        <v>870328</v>
      </c>
      <c r="B9279" s="8" t="s">
        <v>9229</v>
      </c>
    </row>
    <row r="9280" spans="1:2" x14ac:dyDescent="0.3">
      <c r="A9280" s="5" t="str">
        <f>HYPERLINK("http://www.eatonpowersource.com/products/configure/industrial%20valves/details/870464","870464")</f>
        <v>870464</v>
      </c>
      <c r="B9280" s="6" t="s">
        <v>9230</v>
      </c>
    </row>
    <row r="9281" spans="1:2" x14ac:dyDescent="0.3">
      <c r="A9281" s="7" t="str">
        <f>HYPERLINK("http://www.eatonpowersource.com/products/configure/industrial%20valves/details/871255","871255")</f>
        <v>871255</v>
      </c>
      <c r="B9281" s="8" t="s">
        <v>9231</v>
      </c>
    </row>
    <row r="9282" spans="1:2" x14ac:dyDescent="0.3">
      <c r="A9282" s="5" t="str">
        <f>HYPERLINK("http://www.eatonpowersource.com/products/configure/industrial%20valves/details/871291","871291")</f>
        <v>871291</v>
      </c>
      <c r="B9282" s="6" t="s">
        <v>9232</v>
      </c>
    </row>
    <row r="9283" spans="1:2" x14ac:dyDescent="0.3">
      <c r="A9283" s="7" t="str">
        <f>HYPERLINK("http://www.eatonpowersource.com/products/configure/industrial%20valves/details/871437","871437")</f>
        <v>871437</v>
      </c>
      <c r="B9283" s="8" t="s">
        <v>9233</v>
      </c>
    </row>
    <row r="9284" spans="1:2" x14ac:dyDescent="0.3">
      <c r="A9284" s="5" t="str">
        <f>HYPERLINK("http://www.eatonpowersource.com/products/configure/industrial%20valves/details/871471","871471")</f>
        <v>871471</v>
      </c>
      <c r="B9284" s="6" t="s">
        <v>9234</v>
      </c>
    </row>
    <row r="9285" spans="1:2" x14ac:dyDescent="0.3">
      <c r="A9285" s="7" t="str">
        <f>HYPERLINK("http://www.eatonpowersource.com/products/configure/industrial%20valves/details/872121","872121")</f>
        <v>872121</v>
      </c>
      <c r="B9285" s="8" t="s">
        <v>9235</v>
      </c>
    </row>
    <row r="9286" spans="1:2" x14ac:dyDescent="0.3">
      <c r="A9286" s="5" t="str">
        <f>HYPERLINK("http://www.eatonpowersource.com/products/configure/industrial%20valves/details/02-101968","02-101968")</f>
        <v>02-101968</v>
      </c>
      <c r="B9286" s="6" t="s">
        <v>9236</v>
      </c>
    </row>
    <row r="9287" spans="1:2" x14ac:dyDescent="0.3">
      <c r="A9287" s="7" t="str">
        <f>HYPERLINK("http://www.eatonpowersource.com/products/configure/industrial%20valves/details/02-119485","02-119485")</f>
        <v>02-119485</v>
      </c>
      <c r="B9287" s="8" t="s">
        <v>9237</v>
      </c>
    </row>
    <row r="9288" spans="1:2" x14ac:dyDescent="0.3">
      <c r="A9288" s="5" t="str">
        <f>HYPERLINK("http://www.eatonpowersource.com/products/configure/industrial%20valves/details/02-126877","02-126877")</f>
        <v>02-126877</v>
      </c>
      <c r="B9288" s="6" t="s">
        <v>9238</v>
      </c>
    </row>
    <row r="9289" spans="1:2" x14ac:dyDescent="0.3">
      <c r="A9289" s="7" t="str">
        <f>HYPERLINK("http://www.eatonpowersource.com/products/configure/industrial%20valves/details/02-145049","02-145049")</f>
        <v>02-145049</v>
      </c>
      <c r="B9289" s="8" t="s">
        <v>9239</v>
      </c>
    </row>
    <row r="9290" spans="1:2" x14ac:dyDescent="0.3">
      <c r="A9290" s="5" t="str">
        <f>HYPERLINK("http://www.eatonpowersource.com/products/configure/industrial%20valves/details/02-145383","02-145383")</f>
        <v>02-145383</v>
      </c>
      <c r="B9290" s="6" t="s">
        <v>9240</v>
      </c>
    </row>
    <row r="9291" spans="1:2" x14ac:dyDescent="0.3">
      <c r="A9291" s="7" t="str">
        <f>HYPERLINK("http://www.eatonpowersource.com/products/configure/industrial%20valves/details/02-145385","02-145385")</f>
        <v>02-145385</v>
      </c>
      <c r="B9291" s="8" t="s">
        <v>9241</v>
      </c>
    </row>
    <row r="9292" spans="1:2" x14ac:dyDescent="0.3">
      <c r="A9292" s="5" t="str">
        <f>HYPERLINK("http://www.eatonpowersource.com/products/configure/industrial%20valves/details/02-145387","02-145387")</f>
        <v>02-145387</v>
      </c>
      <c r="B9292" s="6" t="s">
        <v>9242</v>
      </c>
    </row>
    <row r="9293" spans="1:2" x14ac:dyDescent="0.3">
      <c r="A9293" s="7" t="str">
        <f>HYPERLINK("http://www.eatonpowersource.com/products/configure/industrial%20valves/details/02-149394","02-149394")</f>
        <v>02-149394</v>
      </c>
      <c r="B9293" s="8" t="s">
        <v>9243</v>
      </c>
    </row>
    <row r="9294" spans="1:2" x14ac:dyDescent="0.3">
      <c r="A9294" s="5" t="str">
        <f>HYPERLINK("http://www.eatonpowersource.com/products/configure/industrial%20valves/details/02-300596","02-300596")</f>
        <v>02-300596</v>
      </c>
      <c r="B9294" s="6" t="s">
        <v>9244</v>
      </c>
    </row>
    <row r="9295" spans="1:2" x14ac:dyDescent="0.3">
      <c r="A9295" s="7" t="str">
        <f>HYPERLINK("http://www.eatonpowersource.com/products/configure/industrial%20valves/details/02-395135","02-395135")</f>
        <v>02-395135</v>
      </c>
      <c r="B9295" s="8" t="s">
        <v>9245</v>
      </c>
    </row>
    <row r="9296" spans="1:2" x14ac:dyDescent="0.3">
      <c r="A9296" s="5" t="str">
        <f>HYPERLINK("http://www.eatonpowersource.com/products/configure/industrial%20valves/details/349169","349169")</f>
        <v>349169</v>
      </c>
      <c r="B9296" s="6" t="s">
        <v>9246</v>
      </c>
    </row>
    <row r="9297" spans="1:2" x14ac:dyDescent="0.3">
      <c r="A9297" s="7" t="str">
        <f>HYPERLINK("http://www.eatonpowersource.com/products/configure/industrial%20valves/details/681552","681552")</f>
        <v>681552</v>
      </c>
      <c r="B9297" s="8" t="s">
        <v>9247</v>
      </c>
    </row>
    <row r="9298" spans="1:2" x14ac:dyDescent="0.3">
      <c r="A9298" s="5" t="str">
        <f>HYPERLINK("http://www.eatonpowersource.com/products/configure/industrial%20valves/details/681553","681553")</f>
        <v>681553</v>
      </c>
      <c r="B9298" s="6" t="s">
        <v>9248</v>
      </c>
    </row>
    <row r="9299" spans="1:2" x14ac:dyDescent="0.3">
      <c r="A9299" s="7" t="str">
        <f>HYPERLINK("http://www.eatonpowersource.com/products/configure/industrial%20valves/details/684725","684725")</f>
        <v>684725</v>
      </c>
      <c r="B9299" s="8" t="s">
        <v>9249</v>
      </c>
    </row>
    <row r="9300" spans="1:2" x14ac:dyDescent="0.3">
      <c r="A9300" s="5" t="str">
        <f>HYPERLINK("http://www.eatonpowersource.com/products/configure/industrial%20valves/details/867323","867323")</f>
        <v>867323</v>
      </c>
      <c r="B9300" s="6" t="s">
        <v>9250</v>
      </c>
    </row>
    <row r="9301" spans="1:2" x14ac:dyDescent="0.3">
      <c r="A9301" s="7" t="str">
        <f>HYPERLINK("http://www.eatonpowersource.com/products/configure/industrial%20valves/details/867332","867332")</f>
        <v>867332</v>
      </c>
      <c r="B9301" s="8" t="s">
        <v>9251</v>
      </c>
    </row>
    <row r="9302" spans="1:2" x14ac:dyDescent="0.3">
      <c r="A9302" s="5" t="str">
        <f>HYPERLINK("http://www.eatonpowersource.com/products/configure/industrial%20valves/details/867335","867335")</f>
        <v>867335</v>
      </c>
      <c r="B9302" s="6" t="s">
        <v>9252</v>
      </c>
    </row>
    <row r="9303" spans="1:2" x14ac:dyDescent="0.3">
      <c r="A9303" s="7" t="str">
        <f>HYPERLINK("http://www.eatonpowersource.com/products/configure/industrial%20valves/details/867339","867339")</f>
        <v>867339</v>
      </c>
      <c r="B9303" s="8" t="s">
        <v>9253</v>
      </c>
    </row>
    <row r="9304" spans="1:2" x14ac:dyDescent="0.3">
      <c r="A9304" s="5" t="str">
        <f>HYPERLINK("http://www.eatonpowersource.com/products/configure/industrial%20valves/details/867340","867340")</f>
        <v>867340</v>
      </c>
      <c r="B9304" s="6" t="s">
        <v>9254</v>
      </c>
    </row>
    <row r="9305" spans="1:2" x14ac:dyDescent="0.3">
      <c r="A9305" s="7" t="str">
        <f>HYPERLINK("http://www.eatonpowersource.com/products/configure/industrial%20valves/details/867341","867341")</f>
        <v>867341</v>
      </c>
      <c r="B9305" s="8" t="s">
        <v>9255</v>
      </c>
    </row>
    <row r="9306" spans="1:2" x14ac:dyDescent="0.3">
      <c r="A9306" s="5" t="str">
        <f>HYPERLINK("http://www.eatonpowersource.com/products/configure/industrial%20valves/details/867342","867342")</f>
        <v>867342</v>
      </c>
      <c r="B9306" s="6" t="s">
        <v>9256</v>
      </c>
    </row>
    <row r="9307" spans="1:2" x14ac:dyDescent="0.3">
      <c r="A9307" s="7" t="str">
        <f>HYPERLINK("http://www.eatonpowersource.com/products/configure/industrial%20valves/details/867345","867345")</f>
        <v>867345</v>
      </c>
      <c r="B9307" s="8" t="s">
        <v>9257</v>
      </c>
    </row>
    <row r="9308" spans="1:2" x14ac:dyDescent="0.3">
      <c r="A9308" s="5" t="str">
        <f>HYPERLINK("http://www.eatonpowersource.com/products/configure/industrial%20valves/details/867364","867364")</f>
        <v>867364</v>
      </c>
      <c r="B9308" s="6" t="s">
        <v>9258</v>
      </c>
    </row>
    <row r="9309" spans="1:2" x14ac:dyDescent="0.3">
      <c r="A9309" s="7" t="str">
        <f>HYPERLINK("http://www.eatonpowersource.com/products/configure/industrial%20valves/details/867365","867365")</f>
        <v>867365</v>
      </c>
      <c r="B9309" s="8" t="s">
        <v>9259</v>
      </c>
    </row>
    <row r="9310" spans="1:2" x14ac:dyDescent="0.3">
      <c r="A9310" s="5" t="str">
        <f>HYPERLINK("http://www.eatonpowersource.com/products/configure/industrial%20valves/details/867366","867366")</f>
        <v>867366</v>
      </c>
      <c r="B9310" s="6" t="s">
        <v>9260</v>
      </c>
    </row>
    <row r="9311" spans="1:2" x14ac:dyDescent="0.3">
      <c r="A9311" s="7" t="str">
        <f>HYPERLINK("http://www.eatonpowersource.com/products/configure/industrial%20valves/details/867367","867367")</f>
        <v>867367</v>
      </c>
      <c r="B9311" s="8" t="s">
        <v>9261</v>
      </c>
    </row>
    <row r="9312" spans="1:2" x14ac:dyDescent="0.3">
      <c r="A9312" s="5" t="str">
        <f>HYPERLINK("http://www.eatonpowersource.com/products/configure/industrial%20valves/details/868300","868300")</f>
        <v>868300</v>
      </c>
      <c r="B9312" s="6" t="s">
        <v>9262</v>
      </c>
    </row>
    <row r="9313" spans="1:2" x14ac:dyDescent="0.3">
      <c r="A9313" s="7" t="str">
        <f>HYPERLINK("http://www.eatonpowersource.com/products/configure/industrial%20valves/details/868304","868304")</f>
        <v>868304</v>
      </c>
      <c r="B9313" s="8" t="s">
        <v>9263</v>
      </c>
    </row>
    <row r="9314" spans="1:2" x14ac:dyDescent="0.3">
      <c r="A9314" s="5" t="str">
        <f>HYPERLINK("http://www.eatonpowersource.com/products/configure/industrial%20valves/details/868306","868306")</f>
        <v>868306</v>
      </c>
      <c r="B9314" s="6" t="s">
        <v>9264</v>
      </c>
    </row>
    <row r="9315" spans="1:2" x14ac:dyDescent="0.3">
      <c r="A9315" s="7" t="str">
        <f>HYPERLINK("http://www.eatonpowersource.com/products/configure/industrial%20valves/details/868308","868308")</f>
        <v>868308</v>
      </c>
      <c r="B9315" s="8" t="s">
        <v>9265</v>
      </c>
    </row>
    <row r="9316" spans="1:2" x14ac:dyDescent="0.3">
      <c r="A9316" s="5" t="str">
        <f>HYPERLINK("http://www.eatonpowersource.com/products/configure/industrial%20valves/details/868314","868314")</f>
        <v>868314</v>
      </c>
      <c r="B9316" s="6" t="s">
        <v>9266</v>
      </c>
    </row>
    <row r="9317" spans="1:2" x14ac:dyDescent="0.3">
      <c r="A9317" s="7" t="str">
        <f>HYPERLINK("http://www.eatonpowersource.com/products/configure/industrial%20valves/details/868316","868316")</f>
        <v>868316</v>
      </c>
      <c r="B9317" s="8" t="s">
        <v>9267</v>
      </c>
    </row>
    <row r="9318" spans="1:2" x14ac:dyDescent="0.3">
      <c r="A9318" s="5" t="str">
        <f>HYPERLINK("http://www.eatonpowersource.com/products/configure/industrial%20valves/details/868317","868317")</f>
        <v>868317</v>
      </c>
      <c r="B9318" s="6" t="s">
        <v>9268</v>
      </c>
    </row>
    <row r="9319" spans="1:2" x14ac:dyDescent="0.3">
      <c r="A9319" s="7" t="str">
        <f>HYPERLINK("http://www.eatonpowersource.com/products/configure/industrial%20valves/details/868653","868653")</f>
        <v>868653</v>
      </c>
      <c r="B9319" s="8" t="s">
        <v>9269</v>
      </c>
    </row>
    <row r="9320" spans="1:2" x14ac:dyDescent="0.3">
      <c r="A9320" s="5" t="str">
        <f>HYPERLINK("http://www.eatonpowersource.com/products/configure/industrial%20valves/details/868655","868655")</f>
        <v>868655</v>
      </c>
      <c r="B9320" s="6" t="s">
        <v>9270</v>
      </c>
    </row>
    <row r="9321" spans="1:2" x14ac:dyDescent="0.3">
      <c r="A9321" s="7" t="str">
        <f>HYPERLINK("http://www.eatonpowersource.com/products/configure/industrial%20valves/details/868790","868790")</f>
        <v>868790</v>
      </c>
      <c r="B9321" s="8" t="s">
        <v>9271</v>
      </c>
    </row>
    <row r="9322" spans="1:2" x14ac:dyDescent="0.3">
      <c r="A9322" s="5" t="str">
        <f>HYPERLINK("http://www.eatonpowersource.com/products/configure/industrial%20valves/details/868851","868851")</f>
        <v>868851</v>
      </c>
      <c r="B9322" s="6" t="s">
        <v>9272</v>
      </c>
    </row>
    <row r="9323" spans="1:2" x14ac:dyDescent="0.3">
      <c r="A9323" s="7" t="str">
        <f>HYPERLINK("http://www.eatonpowersource.com/products/configure/industrial%20valves/details/878643","878643")</f>
        <v>878643</v>
      </c>
      <c r="B9323" s="8" t="s">
        <v>9273</v>
      </c>
    </row>
    <row r="9324" spans="1:2" x14ac:dyDescent="0.3">
      <c r="A9324" s="5" t="str">
        <f>HYPERLINK("http://www.eatonpowersource.com/products/configure/industrial%20valves/details/879035","879035")</f>
        <v>879035</v>
      </c>
      <c r="B9324" s="6" t="s">
        <v>9274</v>
      </c>
    </row>
    <row r="9325" spans="1:2" x14ac:dyDescent="0.3">
      <c r="A9325" s="7" t="str">
        <f>HYPERLINK("http://www.eatonpowersource.com/products/configure/industrial%20valves/details/879036","879036")</f>
        <v>879036</v>
      </c>
      <c r="B9325" s="8" t="s">
        <v>9275</v>
      </c>
    </row>
    <row r="9326" spans="1:2" x14ac:dyDescent="0.3">
      <c r="A9326" s="5" t="str">
        <f>HYPERLINK("http://www.eatonpowersource.com/products/configure/industrial%20valves/details/879037","879037")</f>
        <v>879037</v>
      </c>
      <c r="B9326" s="6" t="s">
        <v>9276</v>
      </c>
    </row>
    <row r="9327" spans="1:2" x14ac:dyDescent="0.3">
      <c r="A9327" s="7" t="str">
        <f>HYPERLINK("http://www.eatonpowersource.com/products/configure/industrial%20valves/details/879038","879038")</f>
        <v>879038</v>
      </c>
      <c r="B9327" s="8" t="s">
        <v>9277</v>
      </c>
    </row>
    <row r="9328" spans="1:2" x14ac:dyDescent="0.3">
      <c r="A9328" s="5" t="str">
        <f>HYPERLINK("http://www.eatonpowersource.com/products/configure/industrial%20valves/details/879039","879039")</f>
        <v>879039</v>
      </c>
      <c r="B9328" s="6" t="s">
        <v>9278</v>
      </c>
    </row>
    <row r="9329" spans="1:2" x14ac:dyDescent="0.3">
      <c r="A9329" s="7" t="str">
        <f>HYPERLINK("http://www.eatonpowersource.com/products/configure/industrial%20valves/details/879041","879041")</f>
        <v>879041</v>
      </c>
      <c r="B9329" s="8" t="s">
        <v>9279</v>
      </c>
    </row>
    <row r="9330" spans="1:2" x14ac:dyDescent="0.3">
      <c r="A9330" s="5" t="str">
        <f>HYPERLINK("http://www.eatonpowersource.com/products/configure/industrial%20valves/details/879042","879042")</f>
        <v>879042</v>
      </c>
      <c r="B9330" s="6" t="s">
        <v>9280</v>
      </c>
    </row>
    <row r="9331" spans="1:2" x14ac:dyDescent="0.3">
      <c r="A9331" s="7" t="str">
        <f>HYPERLINK("http://www.eatonpowersource.com/products/configure/industrial%20valves/details/879044","879044")</f>
        <v>879044</v>
      </c>
      <c r="B9331" s="8" t="s">
        <v>9281</v>
      </c>
    </row>
    <row r="9332" spans="1:2" x14ac:dyDescent="0.3">
      <c r="A9332" s="5" t="str">
        <f>HYPERLINK("http://www.eatonpowersource.com/products/configure/industrial%20valves/details/879342","879342")</f>
        <v>879342</v>
      </c>
      <c r="B9332" s="6" t="s">
        <v>9282</v>
      </c>
    </row>
    <row r="9333" spans="1:2" x14ac:dyDescent="0.3">
      <c r="A9333" s="7" t="str">
        <f>HYPERLINK("http://www.eatonpowersource.com/products/configure/industrial%20valves/details/880553","880553")</f>
        <v>880553</v>
      </c>
      <c r="B9333" s="8" t="s">
        <v>9283</v>
      </c>
    </row>
    <row r="9334" spans="1:2" x14ac:dyDescent="0.3">
      <c r="A9334" s="5" t="str">
        <f>HYPERLINK("http://www.eatonpowersource.com/products/configure/industrial%20valves/details/989366","989366")</f>
        <v>989366</v>
      </c>
      <c r="B9334" s="6" t="s">
        <v>9284</v>
      </c>
    </row>
    <row r="9335" spans="1:2" x14ac:dyDescent="0.3">
      <c r="A9335" s="7" t="str">
        <f>HYPERLINK("http://www.eatonpowersource.com/products/configure/industrial%20valves/details/02-101518","02-101518")</f>
        <v>02-101518</v>
      </c>
      <c r="B9335" s="8" t="s">
        <v>9285</v>
      </c>
    </row>
    <row r="9336" spans="1:2" x14ac:dyDescent="0.3">
      <c r="A9336" s="5" t="str">
        <f>HYPERLINK("http://www.eatonpowersource.com/products/configure/industrial%20valves/details/02-101519","02-101519")</f>
        <v>02-101519</v>
      </c>
      <c r="B9336" s="6" t="s">
        <v>9286</v>
      </c>
    </row>
    <row r="9337" spans="1:2" x14ac:dyDescent="0.3">
      <c r="A9337" s="7" t="str">
        <f>HYPERLINK("http://www.eatonpowersource.com/products/configure/industrial%20valves/details/02-101656","02-101656")</f>
        <v>02-101656</v>
      </c>
      <c r="B9337" s="8" t="s">
        <v>9287</v>
      </c>
    </row>
    <row r="9338" spans="1:2" x14ac:dyDescent="0.3">
      <c r="A9338" s="5" t="str">
        <f>HYPERLINK("http://www.eatonpowersource.com/products/configure/industrial%20valves/details/02-101918","02-101918")</f>
        <v>02-101918</v>
      </c>
      <c r="B9338" s="6" t="s">
        <v>9288</v>
      </c>
    </row>
    <row r="9339" spans="1:2" x14ac:dyDescent="0.3">
      <c r="A9339" s="7" t="str">
        <f>HYPERLINK("http://www.eatonpowersource.com/products/configure/industrial%20valves/details/02-119444","02-119444")</f>
        <v>02-119444</v>
      </c>
      <c r="B9339" s="8" t="s">
        <v>9289</v>
      </c>
    </row>
    <row r="9340" spans="1:2" x14ac:dyDescent="0.3">
      <c r="A9340" s="5" t="str">
        <f>HYPERLINK("http://www.eatonpowersource.com/products/configure/industrial%20valves/details/02-119821","02-119821")</f>
        <v>02-119821</v>
      </c>
      <c r="B9340" s="6" t="s">
        <v>9290</v>
      </c>
    </row>
    <row r="9341" spans="1:2" x14ac:dyDescent="0.3">
      <c r="A9341" s="7" t="str">
        <f>HYPERLINK("http://www.eatonpowersource.com/products/configure/industrial%20valves/details/02-126174","02-126174")</f>
        <v>02-126174</v>
      </c>
      <c r="B9341" s="8" t="s">
        <v>9291</v>
      </c>
    </row>
    <row r="9342" spans="1:2" x14ac:dyDescent="0.3">
      <c r="A9342" s="5" t="str">
        <f>HYPERLINK("http://www.eatonpowersource.com/products/configure/industrial%20valves/details/02-127542","02-127542")</f>
        <v>02-127542</v>
      </c>
      <c r="B9342" s="6" t="s">
        <v>9292</v>
      </c>
    </row>
    <row r="9343" spans="1:2" x14ac:dyDescent="0.3">
      <c r="A9343" s="7" t="str">
        <f>HYPERLINK("http://www.eatonpowersource.com/products/configure/industrial%20valves/details/02-127594","02-127594")</f>
        <v>02-127594</v>
      </c>
      <c r="B9343" s="8" t="s">
        <v>9293</v>
      </c>
    </row>
    <row r="9344" spans="1:2" x14ac:dyDescent="0.3">
      <c r="A9344" s="5" t="str">
        <f>HYPERLINK("http://www.eatonpowersource.com/products/configure/industrial%20valves/details/02-140110","02-140110")</f>
        <v>02-140110</v>
      </c>
      <c r="B9344" s="6" t="s">
        <v>9294</v>
      </c>
    </row>
    <row r="9345" spans="1:2" x14ac:dyDescent="0.3">
      <c r="A9345" s="7" t="str">
        <f>HYPERLINK("http://www.eatonpowersource.com/products/configure/industrial%20valves/details/02-140896","02-140896")</f>
        <v>02-140896</v>
      </c>
      <c r="B9345" s="8" t="s">
        <v>9295</v>
      </c>
    </row>
    <row r="9346" spans="1:2" x14ac:dyDescent="0.3">
      <c r="A9346" s="5" t="str">
        <f>HYPERLINK("http://www.eatonpowersource.com/products/configure/industrial%20valves/details/02-143808","02-143808")</f>
        <v>02-143808</v>
      </c>
      <c r="B9346" s="6" t="s">
        <v>9296</v>
      </c>
    </row>
    <row r="9347" spans="1:2" x14ac:dyDescent="0.3">
      <c r="A9347" s="7" t="str">
        <f>HYPERLINK("http://www.eatonpowersource.com/products/configure/industrial%20valves/details/02-143814","02-143814")</f>
        <v>02-143814</v>
      </c>
      <c r="B9347" s="8" t="s">
        <v>9297</v>
      </c>
    </row>
    <row r="9348" spans="1:2" x14ac:dyDescent="0.3">
      <c r="A9348" s="5" t="str">
        <f>HYPERLINK("http://www.eatonpowersource.com/products/configure/industrial%20valves/details/02-143816","02-143816")</f>
        <v>02-143816</v>
      </c>
      <c r="B9348" s="6" t="s">
        <v>9298</v>
      </c>
    </row>
    <row r="9349" spans="1:2" x14ac:dyDescent="0.3">
      <c r="A9349" s="7" t="str">
        <f>HYPERLINK("http://www.eatonpowersource.com/products/configure/industrial%20valves/details/02-144052","02-144052")</f>
        <v>02-144052</v>
      </c>
      <c r="B9349" s="8" t="s">
        <v>9299</v>
      </c>
    </row>
    <row r="9350" spans="1:2" x14ac:dyDescent="0.3">
      <c r="A9350" s="5" t="str">
        <f>HYPERLINK("http://www.eatonpowersource.com/products/configure/industrial%20valves/details/02-144146","02-144146")</f>
        <v>02-144146</v>
      </c>
      <c r="B9350" s="6" t="s">
        <v>9300</v>
      </c>
    </row>
    <row r="9351" spans="1:2" x14ac:dyDescent="0.3">
      <c r="A9351" s="7" t="str">
        <f>HYPERLINK("http://www.eatonpowersource.com/products/configure/industrial%20valves/details/02-145006","02-145006")</f>
        <v>02-145006</v>
      </c>
      <c r="B9351" s="8" t="s">
        <v>9301</v>
      </c>
    </row>
    <row r="9352" spans="1:2" x14ac:dyDescent="0.3">
      <c r="A9352" s="5" t="str">
        <f>HYPERLINK("http://www.eatonpowersource.com/products/configure/industrial%20valves/details/02-145043","02-145043")</f>
        <v>02-145043</v>
      </c>
      <c r="B9352" s="6" t="s">
        <v>9302</v>
      </c>
    </row>
    <row r="9353" spans="1:2" x14ac:dyDescent="0.3">
      <c r="A9353" s="7" t="str">
        <f>HYPERLINK("http://www.eatonpowersource.com/products/configure/industrial%20valves/details/02-145085","02-145085")</f>
        <v>02-145085</v>
      </c>
      <c r="B9353" s="8" t="s">
        <v>9303</v>
      </c>
    </row>
    <row r="9354" spans="1:2" x14ac:dyDescent="0.3">
      <c r="A9354" s="5" t="str">
        <f>HYPERLINK("http://www.eatonpowersource.com/products/configure/industrial%20valves/details/02-145388","02-145388")</f>
        <v>02-145388</v>
      </c>
      <c r="B9354" s="6" t="s">
        <v>9304</v>
      </c>
    </row>
    <row r="9355" spans="1:2" x14ac:dyDescent="0.3">
      <c r="A9355" s="7" t="str">
        <f>HYPERLINK("http://www.eatonpowersource.com/products/configure/industrial%20valves/details/02-148886","02-148886")</f>
        <v>02-148886</v>
      </c>
      <c r="B9355" s="8" t="s">
        <v>9305</v>
      </c>
    </row>
    <row r="9356" spans="1:2" x14ac:dyDescent="0.3">
      <c r="A9356" s="5" t="str">
        <f>HYPERLINK("http://www.eatonpowersource.com/products/configure/industrial%20valves/details/02-148887","02-148887")</f>
        <v>02-148887</v>
      </c>
      <c r="B9356" s="6" t="s">
        <v>9306</v>
      </c>
    </row>
    <row r="9357" spans="1:2" x14ac:dyDescent="0.3">
      <c r="A9357" s="7" t="str">
        <f>HYPERLINK("http://www.eatonpowersource.com/products/configure/industrial%20valves/details/02-149316","02-149316")</f>
        <v>02-149316</v>
      </c>
      <c r="B9357" s="8" t="s">
        <v>9307</v>
      </c>
    </row>
    <row r="9358" spans="1:2" x14ac:dyDescent="0.3">
      <c r="A9358" s="5" t="str">
        <f>HYPERLINK("http://www.eatonpowersource.com/products/configure/industrial%20valves/details/02-149633","02-149633")</f>
        <v>02-149633</v>
      </c>
      <c r="B9358" s="6" t="s">
        <v>9308</v>
      </c>
    </row>
    <row r="9359" spans="1:2" x14ac:dyDescent="0.3">
      <c r="A9359" s="7" t="str">
        <f>HYPERLINK("http://www.eatonpowersource.com/products/configure/industrial%20valves/details/02-300617","02-300617")</f>
        <v>02-300617</v>
      </c>
      <c r="B9359" s="8" t="s">
        <v>9309</v>
      </c>
    </row>
    <row r="9360" spans="1:2" x14ac:dyDescent="0.3">
      <c r="A9360" s="5" t="str">
        <f>HYPERLINK("http://www.eatonpowersource.com/products/configure/industrial%20valves/details/02-301717","02-301717")</f>
        <v>02-301717</v>
      </c>
      <c r="B9360" s="6" t="s">
        <v>9310</v>
      </c>
    </row>
    <row r="9361" spans="1:2" x14ac:dyDescent="0.3">
      <c r="A9361" s="7" t="str">
        <f>HYPERLINK("http://www.eatonpowersource.com/products/configure/industrial%20valves/details/02-304463","02-304463")</f>
        <v>02-304463</v>
      </c>
      <c r="B9361" s="8" t="s">
        <v>9311</v>
      </c>
    </row>
    <row r="9362" spans="1:2" x14ac:dyDescent="0.3">
      <c r="A9362" s="5" t="str">
        <f>HYPERLINK("http://www.eatonpowersource.com/products/configure/industrial%20valves/details/02-304576","02-304576")</f>
        <v>02-304576</v>
      </c>
      <c r="B9362" s="6" t="s">
        <v>9312</v>
      </c>
    </row>
    <row r="9363" spans="1:2" x14ac:dyDescent="0.3">
      <c r="A9363" s="7" t="str">
        <f>HYPERLINK("http://www.eatonpowersource.com/products/configure/industrial%20valves/details/02-304577","02-304577")</f>
        <v>02-304577</v>
      </c>
      <c r="B9363" s="8" t="s">
        <v>9313</v>
      </c>
    </row>
    <row r="9364" spans="1:2" x14ac:dyDescent="0.3">
      <c r="A9364" s="5" t="str">
        <f>HYPERLINK("http://www.eatonpowersource.com/products/configure/industrial%20valves/details/02-317383","02-317383")</f>
        <v>02-317383</v>
      </c>
      <c r="B9364" s="6" t="s">
        <v>9314</v>
      </c>
    </row>
    <row r="9365" spans="1:2" x14ac:dyDescent="0.3">
      <c r="A9365" s="7" t="str">
        <f>HYPERLINK("http://www.eatonpowersource.com/products/configure/industrial%20valves/details/02-319697","02-319697")</f>
        <v>02-319697</v>
      </c>
      <c r="B9365" s="8" t="s">
        <v>9315</v>
      </c>
    </row>
    <row r="9366" spans="1:2" x14ac:dyDescent="0.3">
      <c r="A9366" s="5" t="str">
        <f>HYPERLINK("http://www.eatonpowersource.com/products/configure/industrial%20valves/details/02-324296","02-324296")</f>
        <v>02-324296</v>
      </c>
      <c r="B9366" s="6" t="s">
        <v>9316</v>
      </c>
    </row>
    <row r="9367" spans="1:2" x14ac:dyDescent="0.3">
      <c r="A9367" s="7" t="str">
        <f>HYPERLINK("http://www.eatonpowersource.com/products/configure/industrial%20valves/details/02-329513","02-329513")</f>
        <v>02-329513</v>
      </c>
      <c r="B9367" s="8" t="s">
        <v>9317</v>
      </c>
    </row>
    <row r="9368" spans="1:2" x14ac:dyDescent="0.3">
      <c r="A9368" s="5" t="str">
        <f>HYPERLINK("http://www.eatonpowersource.com/products/configure/industrial%20valves/details/02-336089","02-336089")</f>
        <v>02-336089</v>
      </c>
      <c r="B9368" s="6" t="s">
        <v>9318</v>
      </c>
    </row>
    <row r="9369" spans="1:2" x14ac:dyDescent="0.3">
      <c r="A9369" s="7" t="str">
        <f>HYPERLINK("http://www.eatonpowersource.com/products/configure/industrial%20valves/details/02-338292","02-338292")</f>
        <v>02-338292</v>
      </c>
      <c r="B9369" s="8" t="s">
        <v>9319</v>
      </c>
    </row>
    <row r="9370" spans="1:2" x14ac:dyDescent="0.3">
      <c r="A9370" s="5" t="str">
        <f>HYPERLINK("http://www.eatonpowersource.com/products/configure/industrial%20valves/details/02-395246","02-395246")</f>
        <v>02-395246</v>
      </c>
      <c r="B9370" s="6" t="s">
        <v>9320</v>
      </c>
    </row>
    <row r="9371" spans="1:2" x14ac:dyDescent="0.3">
      <c r="A9371" s="7" t="str">
        <f>HYPERLINK("http://www.eatonpowersource.com/products/configure/industrial%20valves/details/575066","575066")</f>
        <v>575066</v>
      </c>
      <c r="B9371" s="8" t="s">
        <v>9321</v>
      </c>
    </row>
    <row r="9372" spans="1:2" x14ac:dyDescent="0.3">
      <c r="A9372" s="5" t="str">
        <f>HYPERLINK("http://www.eatonpowersource.com/products/configure/industrial%20valves/details/575067","575067")</f>
        <v>575067</v>
      </c>
      <c r="B9372" s="6" t="s">
        <v>9322</v>
      </c>
    </row>
    <row r="9373" spans="1:2" x14ac:dyDescent="0.3">
      <c r="A9373" s="7" t="str">
        <f>HYPERLINK("http://www.eatonpowersource.com/products/configure/industrial%20valves/details/575068","575068")</f>
        <v>575068</v>
      </c>
      <c r="B9373" s="8" t="s">
        <v>9323</v>
      </c>
    </row>
    <row r="9374" spans="1:2" x14ac:dyDescent="0.3">
      <c r="A9374" s="5" t="str">
        <f>HYPERLINK("http://www.eatonpowersource.com/products/configure/industrial%20valves/details/591507","591507")</f>
        <v>591507</v>
      </c>
      <c r="B9374" s="6" t="s">
        <v>9324</v>
      </c>
    </row>
    <row r="9375" spans="1:2" x14ac:dyDescent="0.3">
      <c r="A9375" s="7" t="str">
        <f>HYPERLINK("http://www.eatonpowersource.com/products/configure/industrial%20valves/details/591508","591508")</f>
        <v>591508</v>
      </c>
      <c r="B9375" s="8" t="s">
        <v>9325</v>
      </c>
    </row>
    <row r="9376" spans="1:2" x14ac:dyDescent="0.3">
      <c r="A9376" s="5" t="str">
        <f>HYPERLINK("http://www.eatonpowersource.com/products/configure/industrial%20valves/details/591509","591509")</f>
        <v>591509</v>
      </c>
      <c r="B9376" s="6" t="s">
        <v>9326</v>
      </c>
    </row>
    <row r="9377" spans="1:2" x14ac:dyDescent="0.3">
      <c r="A9377" s="7" t="str">
        <f>HYPERLINK("http://www.eatonpowersource.com/products/configure/industrial%20valves/details/597812","597812")</f>
        <v>597812</v>
      </c>
      <c r="B9377" s="8" t="s">
        <v>9327</v>
      </c>
    </row>
    <row r="9378" spans="1:2" x14ac:dyDescent="0.3">
      <c r="A9378" s="5" t="str">
        <f>HYPERLINK("http://www.eatonpowersource.com/products/configure/industrial%20valves/details/597813","597813")</f>
        <v>597813</v>
      </c>
      <c r="B9378" s="6" t="s">
        <v>9328</v>
      </c>
    </row>
    <row r="9379" spans="1:2" x14ac:dyDescent="0.3">
      <c r="A9379" s="7" t="str">
        <f>HYPERLINK("http://www.eatonpowersource.com/products/configure/industrial%20valves/details/597815","597815")</f>
        <v>597815</v>
      </c>
      <c r="B9379" s="8" t="s">
        <v>9329</v>
      </c>
    </row>
    <row r="9380" spans="1:2" x14ac:dyDescent="0.3">
      <c r="A9380" s="5" t="str">
        <f>HYPERLINK("http://www.eatonpowersource.com/products/configure/industrial%20valves/details/626462","626462")</f>
        <v>626462</v>
      </c>
      <c r="B9380" s="6" t="s">
        <v>9330</v>
      </c>
    </row>
    <row r="9381" spans="1:2" x14ac:dyDescent="0.3">
      <c r="A9381" s="7" t="str">
        <f>HYPERLINK("http://www.eatonpowersource.com/products/configure/industrial%20valves/details/626463","626463")</f>
        <v>626463</v>
      </c>
      <c r="B9381" s="8" t="s">
        <v>9331</v>
      </c>
    </row>
    <row r="9382" spans="1:2" x14ac:dyDescent="0.3">
      <c r="A9382" s="5" t="str">
        <f>HYPERLINK("http://www.eatonpowersource.com/products/configure/industrial%20valves/details/626464","626464")</f>
        <v>626464</v>
      </c>
      <c r="B9382" s="6" t="s">
        <v>9332</v>
      </c>
    </row>
    <row r="9383" spans="1:2" x14ac:dyDescent="0.3">
      <c r="A9383" s="7" t="str">
        <f>HYPERLINK("http://www.eatonpowersource.com/products/configure/industrial%20valves/details/626466","626466")</f>
        <v>626466</v>
      </c>
      <c r="B9383" s="8" t="s">
        <v>9333</v>
      </c>
    </row>
    <row r="9384" spans="1:2" x14ac:dyDescent="0.3">
      <c r="A9384" s="5" t="str">
        <f>HYPERLINK("http://www.eatonpowersource.com/products/configure/industrial%20valves/details/626467","626467")</f>
        <v>626467</v>
      </c>
      <c r="B9384" s="6" t="s">
        <v>9334</v>
      </c>
    </row>
    <row r="9385" spans="1:2" x14ac:dyDescent="0.3">
      <c r="A9385" s="7" t="str">
        <f>HYPERLINK("http://www.eatonpowersource.com/products/configure/industrial%20valves/details/631706","631706")</f>
        <v>631706</v>
      </c>
      <c r="B9385" s="8" t="s">
        <v>9335</v>
      </c>
    </row>
    <row r="9386" spans="1:2" x14ac:dyDescent="0.3">
      <c r="A9386" s="5" t="str">
        <f>HYPERLINK("http://www.eatonpowersource.com/products/configure/industrial%20valves/details/631707","631707")</f>
        <v>631707</v>
      </c>
      <c r="B9386" s="6" t="s">
        <v>9336</v>
      </c>
    </row>
    <row r="9387" spans="1:2" x14ac:dyDescent="0.3">
      <c r="A9387" s="7" t="str">
        <f>HYPERLINK("http://www.eatonpowersource.com/products/configure/industrial%20valves/details/631708","631708")</f>
        <v>631708</v>
      </c>
      <c r="B9387" s="8" t="s">
        <v>9337</v>
      </c>
    </row>
    <row r="9388" spans="1:2" x14ac:dyDescent="0.3">
      <c r="A9388" s="5" t="str">
        <f>HYPERLINK("http://www.eatonpowersource.com/products/configure/industrial%20valves/details/867312","867312")</f>
        <v>867312</v>
      </c>
      <c r="B9388" s="6" t="s">
        <v>9338</v>
      </c>
    </row>
    <row r="9389" spans="1:2" x14ac:dyDescent="0.3">
      <c r="A9389" s="7" t="str">
        <f>HYPERLINK("http://www.eatonpowersource.com/products/configure/industrial%20valves/details/867315","867315")</f>
        <v>867315</v>
      </c>
      <c r="B9389" s="8" t="s">
        <v>9339</v>
      </c>
    </row>
    <row r="9390" spans="1:2" x14ac:dyDescent="0.3">
      <c r="A9390" s="5" t="str">
        <f>HYPERLINK("http://www.eatonpowersource.com/products/configure/industrial%20valves/details/867324","867324")</f>
        <v>867324</v>
      </c>
      <c r="B9390" s="6" t="s">
        <v>9340</v>
      </c>
    </row>
    <row r="9391" spans="1:2" x14ac:dyDescent="0.3">
      <c r="A9391" s="7" t="str">
        <f>HYPERLINK("http://www.eatonpowersource.com/products/configure/industrial%20valves/details/867326","867326")</f>
        <v>867326</v>
      </c>
      <c r="B9391" s="8" t="s">
        <v>9341</v>
      </c>
    </row>
    <row r="9392" spans="1:2" x14ac:dyDescent="0.3">
      <c r="A9392" s="5" t="str">
        <f>HYPERLINK("http://www.eatonpowersource.com/products/configure/industrial%20valves/details/867327","867327")</f>
        <v>867327</v>
      </c>
      <c r="B9392" s="6" t="s">
        <v>9342</v>
      </c>
    </row>
    <row r="9393" spans="1:2" x14ac:dyDescent="0.3">
      <c r="A9393" s="7" t="str">
        <f>HYPERLINK("http://www.eatonpowersource.com/products/configure/industrial%20valves/details/867328","867328")</f>
        <v>867328</v>
      </c>
      <c r="B9393" s="8" t="s">
        <v>9343</v>
      </c>
    </row>
    <row r="9394" spans="1:2" x14ac:dyDescent="0.3">
      <c r="A9394" s="5" t="str">
        <f>HYPERLINK("http://www.eatonpowersource.com/products/configure/industrial%20valves/details/867329","867329")</f>
        <v>867329</v>
      </c>
      <c r="B9394" s="6" t="s">
        <v>9344</v>
      </c>
    </row>
    <row r="9395" spans="1:2" x14ac:dyDescent="0.3">
      <c r="A9395" s="7" t="str">
        <f>HYPERLINK("http://www.eatonpowersource.com/products/configure/industrial%20valves/details/867334","867334")</f>
        <v>867334</v>
      </c>
      <c r="B9395" s="8" t="s">
        <v>9345</v>
      </c>
    </row>
    <row r="9396" spans="1:2" x14ac:dyDescent="0.3">
      <c r="A9396" s="5" t="str">
        <f>HYPERLINK("http://www.eatonpowersource.com/products/configure/industrial%20valves/details/867336","867336")</f>
        <v>867336</v>
      </c>
      <c r="B9396" s="6" t="s">
        <v>9346</v>
      </c>
    </row>
    <row r="9397" spans="1:2" x14ac:dyDescent="0.3">
      <c r="A9397" s="7" t="str">
        <f>HYPERLINK("http://www.eatonpowersource.com/products/configure/industrial%20valves/details/867337","867337")</f>
        <v>867337</v>
      </c>
      <c r="B9397" s="8" t="s">
        <v>9347</v>
      </c>
    </row>
    <row r="9398" spans="1:2" x14ac:dyDescent="0.3">
      <c r="A9398" s="5" t="str">
        <f>HYPERLINK("http://www.eatonpowersource.com/products/configure/industrial%20valves/details/867338","867338")</f>
        <v>867338</v>
      </c>
      <c r="B9398" s="6" t="s">
        <v>9348</v>
      </c>
    </row>
    <row r="9399" spans="1:2" x14ac:dyDescent="0.3">
      <c r="A9399" s="7" t="str">
        <f>HYPERLINK("http://www.eatonpowersource.com/products/configure/industrial%20valves/details/867343","867343")</f>
        <v>867343</v>
      </c>
      <c r="B9399" s="8" t="s">
        <v>9349</v>
      </c>
    </row>
    <row r="9400" spans="1:2" x14ac:dyDescent="0.3">
      <c r="A9400" s="5" t="str">
        <f>HYPERLINK("http://www.eatonpowersource.com/products/configure/industrial%20valves/details/867344","867344")</f>
        <v>867344</v>
      </c>
      <c r="B9400" s="6" t="s">
        <v>9350</v>
      </c>
    </row>
    <row r="9401" spans="1:2" x14ac:dyDescent="0.3">
      <c r="A9401" s="7" t="str">
        <f>HYPERLINK("http://www.eatonpowersource.com/products/configure/industrial%20valves/details/868303","868303")</f>
        <v>868303</v>
      </c>
      <c r="B9401" s="8" t="s">
        <v>9351</v>
      </c>
    </row>
    <row r="9402" spans="1:2" x14ac:dyDescent="0.3">
      <c r="A9402" s="5" t="str">
        <f>HYPERLINK("http://www.eatonpowersource.com/products/configure/industrial%20valves/details/868315","868315")</f>
        <v>868315</v>
      </c>
      <c r="B9402" s="6" t="s">
        <v>9352</v>
      </c>
    </row>
    <row r="9403" spans="1:2" x14ac:dyDescent="0.3">
      <c r="A9403" s="7" t="str">
        <f>HYPERLINK("http://www.eatonpowersource.com/products/configure/industrial%20valves/details/868322","868322")</f>
        <v>868322</v>
      </c>
      <c r="B9403" s="8" t="s">
        <v>9353</v>
      </c>
    </row>
    <row r="9404" spans="1:2" x14ac:dyDescent="0.3">
      <c r="A9404" s="5" t="str">
        <f>HYPERLINK("http://www.eatonpowersource.com/products/configure/industrial%20valves/details/868650","868650")</f>
        <v>868650</v>
      </c>
      <c r="B9404" s="6" t="s">
        <v>9354</v>
      </c>
    </row>
    <row r="9405" spans="1:2" x14ac:dyDescent="0.3">
      <c r="A9405" s="7" t="str">
        <f>HYPERLINK("http://www.eatonpowersource.com/products/configure/industrial%20valves/details/868651","868651")</f>
        <v>868651</v>
      </c>
      <c r="B9405" s="8" t="s">
        <v>9355</v>
      </c>
    </row>
    <row r="9406" spans="1:2" x14ac:dyDescent="0.3">
      <c r="A9406" s="5" t="str">
        <f>HYPERLINK("http://www.eatonpowersource.com/products/configure/industrial%20valves/details/868652","868652")</f>
        <v>868652</v>
      </c>
      <c r="B9406" s="6" t="s">
        <v>9356</v>
      </c>
    </row>
    <row r="9407" spans="1:2" x14ac:dyDescent="0.3">
      <c r="A9407" s="7" t="str">
        <f>HYPERLINK("http://www.eatonpowersource.com/products/configure/industrial%20valves/details/868654","868654")</f>
        <v>868654</v>
      </c>
      <c r="B9407" s="8" t="s">
        <v>9357</v>
      </c>
    </row>
    <row r="9408" spans="1:2" x14ac:dyDescent="0.3">
      <c r="A9408" s="5" t="str">
        <f>HYPERLINK("http://www.eatonpowersource.com/products/configure/industrial%20valves/details/868656","868656")</f>
        <v>868656</v>
      </c>
      <c r="B9408" s="6" t="s">
        <v>9358</v>
      </c>
    </row>
    <row r="9409" spans="1:2" x14ac:dyDescent="0.3">
      <c r="A9409" s="7" t="str">
        <f>HYPERLINK("http://www.eatonpowersource.com/products/configure/industrial%20valves/details/868657","868657")</f>
        <v>868657</v>
      </c>
      <c r="B9409" s="8" t="s">
        <v>9359</v>
      </c>
    </row>
    <row r="9410" spans="1:2" x14ac:dyDescent="0.3">
      <c r="A9410" s="5" t="str">
        <f>HYPERLINK("http://www.eatonpowersource.com/products/configure/industrial%20valves/details/868660","868660")</f>
        <v>868660</v>
      </c>
      <c r="B9410" s="6" t="s">
        <v>9360</v>
      </c>
    </row>
    <row r="9411" spans="1:2" x14ac:dyDescent="0.3">
      <c r="A9411" s="7" t="str">
        <f>HYPERLINK("http://www.eatonpowersource.com/products/configure/industrial%20valves/details/868661","868661")</f>
        <v>868661</v>
      </c>
      <c r="B9411" s="8" t="s">
        <v>9361</v>
      </c>
    </row>
    <row r="9412" spans="1:2" x14ac:dyDescent="0.3">
      <c r="A9412" s="5" t="str">
        <f>HYPERLINK("http://www.eatonpowersource.com/products/configure/industrial%20valves/details/868791","868791")</f>
        <v>868791</v>
      </c>
      <c r="B9412" s="6" t="s">
        <v>9362</v>
      </c>
    </row>
    <row r="9413" spans="1:2" x14ac:dyDescent="0.3">
      <c r="A9413" s="7" t="str">
        <f>HYPERLINK("http://www.eatonpowersource.com/products/configure/industrial%20valves/details/868852","868852")</f>
        <v>868852</v>
      </c>
      <c r="B9413" s="8" t="s">
        <v>9363</v>
      </c>
    </row>
    <row r="9414" spans="1:2" x14ac:dyDescent="0.3">
      <c r="A9414" s="5" t="str">
        <f>HYPERLINK("http://www.eatonpowersource.com/products/configure/industrial%20valves/details/868858","868858")</f>
        <v>868858</v>
      </c>
      <c r="B9414" s="6" t="s">
        <v>9364</v>
      </c>
    </row>
    <row r="9415" spans="1:2" x14ac:dyDescent="0.3">
      <c r="A9415" s="7" t="str">
        <f>HYPERLINK("http://www.eatonpowersource.com/products/configure/industrial%20valves/details/868862","868862")</f>
        <v>868862</v>
      </c>
      <c r="B9415" s="8" t="s">
        <v>9365</v>
      </c>
    </row>
    <row r="9416" spans="1:2" x14ac:dyDescent="0.3">
      <c r="A9416" s="5" t="str">
        <f>HYPERLINK("http://www.eatonpowersource.com/products/configure/industrial%20valves/details/868863","868863")</f>
        <v>868863</v>
      </c>
      <c r="B9416" s="6" t="s">
        <v>9366</v>
      </c>
    </row>
    <row r="9417" spans="1:2" x14ac:dyDescent="0.3">
      <c r="A9417" s="7" t="str">
        <f>HYPERLINK("http://www.eatonpowersource.com/products/configure/industrial%20valves/details/868865","868865")</f>
        <v>868865</v>
      </c>
      <c r="B9417" s="8" t="s">
        <v>9367</v>
      </c>
    </row>
    <row r="9418" spans="1:2" x14ac:dyDescent="0.3">
      <c r="A9418" s="5" t="str">
        <f>HYPERLINK("http://www.eatonpowersource.com/products/configure/industrial%20valves/details/868866","868866")</f>
        <v>868866</v>
      </c>
      <c r="B9418" s="6" t="s">
        <v>9368</v>
      </c>
    </row>
    <row r="9419" spans="1:2" x14ac:dyDescent="0.3">
      <c r="A9419" s="7" t="str">
        <f>HYPERLINK("http://www.eatonpowersource.com/products/configure/industrial%20valves/details/868869","868869")</f>
        <v>868869</v>
      </c>
      <c r="B9419" s="8" t="s">
        <v>9369</v>
      </c>
    </row>
    <row r="9420" spans="1:2" x14ac:dyDescent="0.3">
      <c r="A9420" s="5" t="str">
        <f>HYPERLINK("http://www.eatonpowersource.com/products/configure/industrial%20valves/details/868875","868875")</f>
        <v>868875</v>
      </c>
      <c r="B9420" s="6" t="s">
        <v>9370</v>
      </c>
    </row>
    <row r="9421" spans="1:2" x14ac:dyDescent="0.3">
      <c r="A9421" s="7" t="str">
        <f>HYPERLINK("http://www.eatonpowersource.com/products/configure/industrial%20valves/details/868880","868880")</f>
        <v>868880</v>
      </c>
      <c r="B9421" s="8" t="s">
        <v>9371</v>
      </c>
    </row>
    <row r="9422" spans="1:2" x14ac:dyDescent="0.3">
      <c r="A9422" s="5" t="str">
        <f>HYPERLINK("http://www.eatonpowersource.com/products/configure/industrial%20valves/details/868881","868881")</f>
        <v>868881</v>
      </c>
      <c r="B9422" s="6" t="s">
        <v>9372</v>
      </c>
    </row>
    <row r="9423" spans="1:2" x14ac:dyDescent="0.3">
      <c r="A9423" s="7" t="str">
        <f>HYPERLINK("http://www.eatonpowersource.com/products/configure/industrial%20valves/details/868882","868882")</f>
        <v>868882</v>
      </c>
      <c r="B9423" s="8" t="s">
        <v>9373</v>
      </c>
    </row>
    <row r="9424" spans="1:2" x14ac:dyDescent="0.3">
      <c r="A9424" s="5" t="str">
        <f>HYPERLINK("http://www.eatonpowersource.com/products/configure/industrial%20valves/details/868883","868883")</f>
        <v>868883</v>
      </c>
      <c r="B9424" s="6" t="s">
        <v>9374</v>
      </c>
    </row>
    <row r="9425" spans="1:2" x14ac:dyDescent="0.3">
      <c r="A9425" s="7" t="str">
        <f>HYPERLINK("http://www.eatonpowersource.com/products/configure/industrial%20valves/details/868884","868884")</f>
        <v>868884</v>
      </c>
      <c r="B9425" s="8" t="s">
        <v>9375</v>
      </c>
    </row>
    <row r="9426" spans="1:2" x14ac:dyDescent="0.3">
      <c r="A9426" s="5" t="str">
        <f>HYPERLINK("http://www.eatonpowersource.com/products/configure/industrial%20valves/details/868888","868888")</f>
        <v>868888</v>
      </c>
      <c r="B9426" s="6" t="s">
        <v>9376</v>
      </c>
    </row>
    <row r="9427" spans="1:2" x14ac:dyDescent="0.3">
      <c r="A9427" s="7" t="str">
        <f>HYPERLINK("http://www.eatonpowersource.com/products/configure/industrial%20valves/details/868889","868889")</f>
        <v>868889</v>
      </c>
      <c r="B9427" s="8" t="s">
        <v>9377</v>
      </c>
    </row>
    <row r="9428" spans="1:2" x14ac:dyDescent="0.3">
      <c r="A9428" s="5" t="str">
        <f>HYPERLINK("http://www.eatonpowersource.com/products/configure/industrial%20valves/details/878278","878278")</f>
        <v>878278</v>
      </c>
      <c r="B9428" s="6" t="s">
        <v>9378</v>
      </c>
    </row>
    <row r="9429" spans="1:2" x14ac:dyDescent="0.3">
      <c r="A9429" s="7" t="str">
        <f>HYPERLINK("http://www.eatonpowersource.com/products/configure/industrial%20valves/details/878279","878279")</f>
        <v>878279</v>
      </c>
      <c r="B9429" s="8" t="s">
        <v>9379</v>
      </c>
    </row>
    <row r="9430" spans="1:2" x14ac:dyDescent="0.3">
      <c r="A9430" s="5" t="str">
        <f>HYPERLINK("http://www.eatonpowersource.com/products/configure/industrial%20valves/details/879040","879040")</f>
        <v>879040</v>
      </c>
      <c r="B9430" s="6" t="s">
        <v>9380</v>
      </c>
    </row>
    <row r="9431" spans="1:2" x14ac:dyDescent="0.3">
      <c r="A9431" s="7" t="str">
        <f>HYPERLINK("http://www.eatonpowersource.com/products/configure/industrial%20valves/details/879045","879045")</f>
        <v>879045</v>
      </c>
      <c r="B9431" s="8" t="s">
        <v>9381</v>
      </c>
    </row>
    <row r="9432" spans="1:2" x14ac:dyDescent="0.3">
      <c r="A9432" s="5" t="str">
        <f>HYPERLINK("http://www.eatonpowersource.com/products/configure/industrial%20valves/details/879046","879046")</f>
        <v>879046</v>
      </c>
      <c r="B9432" s="6" t="s">
        <v>9382</v>
      </c>
    </row>
    <row r="9433" spans="1:2" x14ac:dyDescent="0.3">
      <c r="A9433" s="7" t="str">
        <f>HYPERLINK("http://www.eatonpowersource.com/products/configure/industrial%20valves/details/879047","879047")</f>
        <v>879047</v>
      </c>
      <c r="B9433" s="8" t="s">
        <v>9383</v>
      </c>
    </row>
    <row r="9434" spans="1:2" x14ac:dyDescent="0.3">
      <c r="A9434" s="5" t="str">
        <f>HYPERLINK("http://www.eatonpowersource.com/products/configure/industrial%20valves/details/879048","879048")</f>
        <v>879048</v>
      </c>
      <c r="B9434" s="6" t="s">
        <v>9384</v>
      </c>
    </row>
    <row r="9435" spans="1:2" x14ac:dyDescent="0.3">
      <c r="A9435" s="7" t="str">
        <f>HYPERLINK("http://www.eatonpowersource.com/products/configure/industrial%20valves/details/879049","879049")</f>
        <v>879049</v>
      </c>
      <c r="B9435" s="8" t="s">
        <v>9385</v>
      </c>
    </row>
    <row r="9436" spans="1:2" x14ac:dyDescent="0.3">
      <c r="A9436" s="5" t="str">
        <f>HYPERLINK("http://www.eatonpowersource.com/products/configure/industrial%20valves/details/879050","879050")</f>
        <v>879050</v>
      </c>
      <c r="B9436" s="6" t="s">
        <v>9386</v>
      </c>
    </row>
    <row r="9437" spans="1:2" x14ac:dyDescent="0.3">
      <c r="A9437" s="7" t="str">
        <f>HYPERLINK("http://www.eatonpowersource.com/products/configure/industrial%20valves/details/879051","879051")</f>
        <v>879051</v>
      </c>
      <c r="B9437" s="8" t="s">
        <v>9387</v>
      </c>
    </row>
    <row r="9438" spans="1:2" x14ac:dyDescent="0.3">
      <c r="A9438" s="5" t="str">
        <f>HYPERLINK("http://www.eatonpowersource.com/products/configure/industrial%20valves/details/879052","879052")</f>
        <v>879052</v>
      </c>
      <c r="B9438" s="6" t="s">
        <v>9388</v>
      </c>
    </row>
    <row r="9439" spans="1:2" x14ac:dyDescent="0.3">
      <c r="A9439" s="7" t="str">
        <f>HYPERLINK("http://www.eatonpowersource.com/products/configure/industrial%20valves/details/879317","879317")</f>
        <v>879317</v>
      </c>
      <c r="B9439" s="8" t="s">
        <v>9389</v>
      </c>
    </row>
    <row r="9440" spans="1:2" x14ac:dyDescent="0.3">
      <c r="A9440" s="5" t="str">
        <f>HYPERLINK("http://www.eatonpowersource.com/products/configure/industrial%20valves/details/879319","879319")</f>
        <v>879319</v>
      </c>
      <c r="B9440" s="6" t="s">
        <v>9390</v>
      </c>
    </row>
    <row r="9441" spans="1:2" x14ac:dyDescent="0.3">
      <c r="A9441" s="7" t="str">
        <f>HYPERLINK("http://www.eatonpowersource.com/products/configure/industrial%20valves/details/879341","879341")</f>
        <v>879341</v>
      </c>
      <c r="B9441" s="8" t="s">
        <v>9391</v>
      </c>
    </row>
    <row r="9442" spans="1:2" x14ac:dyDescent="0.3">
      <c r="A9442" s="5" t="str">
        <f>HYPERLINK("http://www.eatonpowersource.com/products/configure/industrial%20valves/details/879343","879343")</f>
        <v>879343</v>
      </c>
      <c r="B9442" s="6" t="s">
        <v>9392</v>
      </c>
    </row>
    <row r="9443" spans="1:2" x14ac:dyDescent="0.3">
      <c r="A9443" s="7" t="str">
        <f>HYPERLINK("http://www.eatonpowersource.com/products/configure/industrial%20valves/details/879344","879344")</f>
        <v>879344</v>
      </c>
      <c r="B9443" s="8" t="s">
        <v>9393</v>
      </c>
    </row>
    <row r="9444" spans="1:2" x14ac:dyDescent="0.3">
      <c r="A9444" s="5" t="str">
        <f>HYPERLINK("http://www.eatonpowersource.com/products/configure/industrial%20valves/details/880554","880554")</f>
        <v>880554</v>
      </c>
      <c r="B9444" s="6" t="s">
        <v>9394</v>
      </c>
    </row>
    <row r="9445" spans="1:2" x14ac:dyDescent="0.3">
      <c r="A9445" s="7" t="str">
        <f>HYPERLINK("http://www.eatonpowersource.com/products/configure/industrial%20valves/details/890025","890025")</f>
        <v>890025</v>
      </c>
      <c r="B9445" s="8" t="s">
        <v>9395</v>
      </c>
    </row>
    <row r="9446" spans="1:2" x14ac:dyDescent="0.3">
      <c r="A9446" s="5" t="str">
        <f>HYPERLINK("http://www.eatonpowersource.com/products/configure/industrial%20valves/details/284139","284139")</f>
        <v>284139</v>
      </c>
      <c r="B9446" s="6" t="s">
        <v>9396</v>
      </c>
    </row>
    <row r="9447" spans="1:2" x14ac:dyDescent="0.3">
      <c r="A9447" s="7" t="str">
        <f>HYPERLINK("http://www.eatonpowersource.com/products/configure/industrial%20valves/details/590807","590807")</f>
        <v>590807</v>
      </c>
      <c r="B9447" s="8" t="s">
        <v>9397</v>
      </c>
    </row>
    <row r="9448" spans="1:2" x14ac:dyDescent="0.3">
      <c r="A9448" s="5" t="str">
        <f>HYPERLINK("http://www.eatonpowersource.com/products/configure/industrial%20valves/details/686619","686619")</f>
        <v>686619</v>
      </c>
      <c r="B9448" s="6" t="s">
        <v>9398</v>
      </c>
    </row>
    <row r="9449" spans="1:2" x14ac:dyDescent="0.3">
      <c r="A9449" s="7" t="str">
        <f>HYPERLINK("http://www.eatonpowersource.com/products/configure/mobile%20valves/details/186580","186580")</f>
        <v>186580</v>
      </c>
      <c r="B9449" s="8" t="s">
        <v>9399</v>
      </c>
    </row>
    <row r="9450" spans="1:2" x14ac:dyDescent="0.3">
      <c r="A9450" s="5" t="str">
        <f>HYPERLINK("http://www.eatonpowersource.com/products/configure/mobile%20valves/details/317065","317065")</f>
        <v>317065</v>
      </c>
      <c r="B9450" s="6" t="s">
        <v>9400</v>
      </c>
    </row>
    <row r="9451" spans="1:2" x14ac:dyDescent="0.3">
      <c r="A9451" s="7" t="str">
        <f>HYPERLINK("http://www.eatonpowersource.com/products/configure/industrial%20valves/details/02-157559","02-157559")</f>
        <v>02-157559</v>
      </c>
      <c r="B9451" s="8" t="s">
        <v>9401</v>
      </c>
    </row>
    <row r="9452" spans="1:2" x14ac:dyDescent="0.3">
      <c r="A9452" s="5" t="str">
        <f>HYPERLINK("http://www.eatonpowersource.com/products/configure/industrial%20valves/details/02-311959","02-311959")</f>
        <v>02-311959</v>
      </c>
      <c r="B9452" s="6" t="s">
        <v>9402</v>
      </c>
    </row>
    <row r="9453" spans="1:2" x14ac:dyDescent="0.3">
      <c r="A9453" s="7" t="str">
        <f>HYPERLINK("http://www.eatonpowersource.com/products/configure/industrial%20valves/details/846an00061a","846AN00061A")</f>
        <v>846AN00061A</v>
      </c>
      <c r="B9453" s="8" t="s">
        <v>9403</v>
      </c>
    </row>
    <row r="9454" spans="1:2" x14ac:dyDescent="0.3">
      <c r="A9454" s="5" t="str">
        <f>HYPERLINK("http://www.eatonpowersource.com/products/configure/industrial%20valves/details/846an00062a","846AN00062A")</f>
        <v>846AN00062A</v>
      </c>
      <c r="B9454" s="6" t="s">
        <v>9404</v>
      </c>
    </row>
    <row r="9455" spans="1:2" x14ac:dyDescent="0.3">
      <c r="A9455" s="7" t="str">
        <f>HYPERLINK("http://www.eatonpowersource.com/products/configure/industrial%20valves/details/846an00063a","846AN00063A")</f>
        <v>846AN00063A</v>
      </c>
      <c r="B9455" s="8" t="s">
        <v>9405</v>
      </c>
    </row>
    <row r="9456" spans="1:2" x14ac:dyDescent="0.3">
      <c r="A9456" s="5" t="str">
        <f>HYPERLINK("http://www.eatonpowersource.com/products/configure/industrial%20valves/details/846an00066a","846AN00066A")</f>
        <v>846AN00066A</v>
      </c>
      <c r="B9456" s="6" t="s">
        <v>9406</v>
      </c>
    </row>
    <row r="9457" spans="1:2" x14ac:dyDescent="0.3">
      <c r="A9457" s="7" t="str">
        <f>HYPERLINK("http://www.eatonpowersource.com/products/configure/industrial%20valves/details/846an00079a","846AN00079A")</f>
        <v>846AN00079A</v>
      </c>
      <c r="B9457" s="8" t="s">
        <v>9407</v>
      </c>
    </row>
    <row r="9458" spans="1:2" x14ac:dyDescent="0.3">
      <c r="A9458" s="5" t="str">
        <f>HYPERLINK("http://www.eatonpowersource.com/products/configure/industrial%20valves/details/846an00116a","846AN00116A")</f>
        <v>846AN00116A</v>
      </c>
      <c r="B9458" s="6" t="s">
        <v>9408</v>
      </c>
    </row>
    <row r="9459" spans="1:2" x14ac:dyDescent="0.3">
      <c r="A9459" s="7" t="str">
        <f>HYPERLINK("http://www.eatonpowersource.com/products/configure/industrial%20valves/details/846an00158a","846AN00158A")</f>
        <v>846AN00158A</v>
      </c>
      <c r="B9459" s="8" t="s">
        <v>9409</v>
      </c>
    </row>
    <row r="9460" spans="1:2" x14ac:dyDescent="0.3">
      <c r="A9460" s="5" t="str">
        <f>HYPERLINK("http://www.eatonpowersource.com/products/configure/industrial%20valves/details/846an00177a","846AN00177A")</f>
        <v>846AN00177A</v>
      </c>
      <c r="B9460" s="6" t="s">
        <v>9410</v>
      </c>
    </row>
    <row r="9461" spans="1:2" x14ac:dyDescent="0.3">
      <c r="A9461" s="7" t="str">
        <f>HYPERLINK("http://www.eatonpowersource.com/products/configure/industrial%20valves/details/846an00192a","846AN00192A")</f>
        <v>846AN00192A</v>
      </c>
      <c r="B9461" s="8" t="s">
        <v>9411</v>
      </c>
    </row>
    <row r="9462" spans="1:2" x14ac:dyDescent="0.3">
      <c r="A9462" s="5" t="str">
        <f>HYPERLINK("http://www.eatonpowersource.com/products/configure/industrial%20valves/details/846an00265a","846AN00265A")</f>
        <v>846AN00265A</v>
      </c>
      <c r="B9462" s="6" t="s">
        <v>9412</v>
      </c>
    </row>
    <row r="9463" spans="1:2" x14ac:dyDescent="0.3">
      <c r="A9463" s="7" t="str">
        <f>HYPERLINK("http://www.eatonpowersource.com/products/configure/industrial%20valves/details/846an00349a","846AN00349A")</f>
        <v>846AN00349A</v>
      </c>
      <c r="B9463" s="8" t="s">
        <v>9413</v>
      </c>
    </row>
    <row r="9464" spans="1:2" x14ac:dyDescent="0.3">
      <c r="A9464" s="5" t="str">
        <f>HYPERLINK("http://www.eatonpowersource.com/products/configure/industrial%20valves/details/846an00362a","846AN00362A")</f>
        <v>846AN00362A</v>
      </c>
      <c r="B9464" s="6" t="s">
        <v>9414</v>
      </c>
    </row>
    <row r="9465" spans="1:2" x14ac:dyDescent="0.3">
      <c r="A9465" s="7" t="str">
        <f>HYPERLINK("http://www.eatonpowersource.com/products/configure/industrial%20valves/details/846an00375a","846AN00375A")</f>
        <v>846AN00375A</v>
      </c>
      <c r="B9465" s="8" t="s">
        <v>9415</v>
      </c>
    </row>
    <row r="9466" spans="1:2" x14ac:dyDescent="0.3">
      <c r="A9466" s="5" t="str">
        <f>HYPERLINK("http://www.eatonpowersource.com/products/configure/industrial%20valves/details/3025047","3025047")</f>
        <v>3025047</v>
      </c>
      <c r="B9466" s="6" t="s">
        <v>9416</v>
      </c>
    </row>
    <row r="9467" spans="1:2" x14ac:dyDescent="0.3">
      <c r="A9467" s="7" t="str">
        <f>HYPERLINK("http://www.eatonpowersource.com/products/configure/industrial%20valves/details/3025054","3025054")</f>
        <v>3025054</v>
      </c>
      <c r="B9467" s="8" t="s">
        <v>9417</v>
      </c>
    </row>
    <row r="9468" spans="1:2" x14ac:dyDescent="0.3">
      <c r="A9468" s="5" t="str">
        <f>HYPERLINK("http://www.eatonpowersource.com/products/configure/industrial%20valves/details/3025055","3025055")</f>
        <v>3025055</v>
      </c>
      <c r="B9468" s="6" t="s">
        <v>9418</v>
      </c>
    </row>
    <row r="9469" spans="1:2" x14ac:dyDescent="0.3">
      <c r="A9469" s="7" t="str">
        <f>HYPERLINK("http://www.eatonpowersource.com/products/configure/industrial%20valves/details/3025056","3025056")</f>
        <v>3025056</v>
      </c>
      <c r="B9469" s="8" t="s">
        <v>9419</v>
      </c>
    </row>
    <row r="9470" spans="1:2" x14ac:dyDescent="0.3">
      <c r="A9470" s="5" t="str">
        <f>HYPERLINK("http://www.eatonpowersource.com/products/configure/industrial%20valves/details/3025057","3025057")</f>
        <v>3025057</v>
      </c>
      <c r="B9470" s="6" t="s">
        <v>9420</v>
      </c>
    </row>
    <row r="9471" spans="1:2" x14ac:dyDescent="0.3">
      <c r="A9471" s="7" t="str">
        <f>HYPERLINK("http://www.eatonpowersource.com/products/configure/industrial%20valves/details/3025243","3025243")</f>
        <v>3025243</v>
      </c>
      <c r="B9471" s="8" t="s">
        <v>9421</v>
      </c>
    </row>
    <row r="9472" spans="1:2" x14ac:dyDescent="0.3">
      <c r="A9472" s="5" t="str">
        <f>HYPERLINK("http://www.eatonpowersource.com/products/configure/industrial%20valves/details/3025628","3025628")</f>
        <v>3025628</v>
      </c>
      <c r="B9472" s="6" t="s">
        <v>9422</v>
      </c>
    </row>
    <row r="9473" spans="1:2" x14ac:dyDescent="0.3">
      <c r="A9473" s="7" t="str">
        <f>HYPERLINK("http://www.eatonpowersource.com/products/configure/industrial%20valves/details/3025629","3025629")</f>
        <v>3025629</v>
      </c>
      <c r="B9473" s="8" t="s">
        <v>9423</v>
      </c>
    </row>
    <row r="9474" spans="1:2" x14ac:dyDescent="0.3">
      <c r="A9474" s="5" t="str">
        <f>HYPERLINK("http://www.eatonpowersource.com/products/configure/industrial%20valves/details/682121","682121")</f>
        <v>682121</v>
      </c>
      <c r="B9474" s="6" t="s">
        <v>9424</v>
      </c>
    </row>
    <row r="9475" spans="1:2" x14ac:dyDescent="0.3">
      <c r="A9475" s="7" t="str">
        <f>HYPERLINK("http://www.eatonpowersource.com/products/configure/industrial%20valves/details/683005","683005")</f>
        <v>683005</v>
      </c>
      <c r="B9475" s="8" t="s">
        <v>9425</v>
      </c>
    </row>
    <row r="9476" spans="1:2" x14ac:dyDescent="0.3">
      <c r="A9476" s="5" t="str">
        <f>HYPERLINK("http://www.eatonpowersource.com/products/configure/industrial%20valves/details/686523","686523")</f>
        <v>686523</v>
      </c>
      <c r="B9476" s="6" t="s">
        <v>9426</v>
      </c>
    </row>
    <row r="9477" spans="1:2" x14ac:dyDescent="0.3">
      <c r="A9477" s="7" t="str">
        <f>HYPERLINK("http://www.eatonpowersource.com/products/configure/industrial%20valves/details/688706","688706")</f>
        <v>688706</v>
      </c>
      <c r="B9477" s="8" t="s">
        <v>9427</v>
      </c>
    </row>
    <row r="9478" spans="1:2" x14ac:dyDescent="0.3">
      <c r="A9478" s="5" t="str">
        <f>HYPERLINK("http://www.eatonpowersource.com/products/configure/industrial%20valves/details/688707","688707")</f>
        <v>688707</v>
      </c>
      <c r="B9478" s="6" t="s">
        <v>9428</v>
      </c>
    </row>
    <row r="9479" spans="1:2" x14ac:dyDescent="0.3">
      <c r="A9479" s="7" t="str">
        <f>HYPERLINK("http://www.eatonpowersource.com/products/configure/industrial%20valves/details/688721","688721")</f>
        <v>688721</v>
      </c>
      <c r="B9479" s="8" t="s">
        <v>9429</v>
      </c>
    </row>
    <row r="9480" spans="1:2" x14ac:dyDescent="0.3">
      <c r="A9480" s="5" t="str">
        <f>HYPERLINK("http://www.eatonpowersource.com/products/configure/industrial%20valves/details/689892","689892")</f>
        <v>689892</v>
      </c>
      <c r="B9480" s="6" t="s">
        <v>9430</v>
      </c>
    </row>
    <row r="9481" spans="1:2" x14ac:dyDescent="0.3">
      <c r="A9481" s="7" t="str">
        <f>HYPERLINK("http://www.eatonpowersource.com/products/configure/industrial%20valves/details/855376","855376")</f>
        <v>855376</v>
      </c>
      <c r="B9481" s="8" t="s">
        <v>9431</v>
      </c>
    </row>
    <row r="9482" spans="1:2" x14ac:dyDescent="0.3">
      <c r="A9482" s="5" t="str">
        <f>HYPERLINK("http://www.eatonpowersource.com/products/configure/industrial%20valves/details/855393","855393")</f>
        <v>855393</v>
      </c>
      <c r="B9482" s="6" t="s">
        <v>9432</v>
      </c>
    </row>
    <row r="9483" spans="1:2" x14ac:dyDescent="0.3">
      <c r="A9483" s="7" t="str">
        <f>HYPERLINK("http://www.eatonpowersource.com/products/configure/industrial%20valves/details/855978","855978")</f>
        <v>855978</v>
      </c>
      <c r="B9483" s="8" t="s">
        <v>9433</v>
      </c>
    </row>
    <row r="9484" spans="1:2" x14ac:dyDescent="0.3">
      <c r="A9484" s="5" t="str">
        <f>HYPERLINK("http://www.eatonpowersource.com/products/configure/industrial%20valves/details/855980","855980")</f>
        <v>855980</v>
      </c>
      <c r="B9484" s="6" t="s">
        <v>9434</v>
      </c>
    </row>
    <row r="9485" spans="1:2" x14ac:dyDescent="0.3">
      <c r="A9485" s="7" t="str">
        <f>HYPERLINK("http://www.eatonpowersource.com/products/configure/industrial%20valves/details/855983","855983")</f>
        <v>855983</v>
      </c>
      <c r="B9485" s="8" t="s">
        <v>9435</v>
      </c>
    </row>
    <row r="9486" spans="1:2" x14ac:dyDescent="0.3">
      <c r="A9486" s="5" t="str">
        <f>HYPERLINK("http://www.eatonpowersource.com/products/configure/industrial%20valves/details/866653","866653")</f>
        <v>866653</v>
      </c>
      <c r="B9486" s="6" t="s">
        <v>9436</v>
      </c>
    </row>
    <row r="9487" spans="1:2" x14ac:dyDescent="0.3">
      <c r="A9487" s="7" t="str">
        <f>HYPERLINK("http://www.eatonpowersource.com/products/configure/industrial%20valves/details/884956","884956")</f>
        <v>884956</v>
      </c>
      <c r="B9487" s="8" t="s">
        <v>9437</v>
      </c>
    </row>
    <row r="9488" spans="1:2" x14ac:dyDescent="0.3">
      <c r="A9488" s="5" t="str">
        <f>HYPERLINK("http://www.eatonpowersource.com/products/configure/industrial%20valves/details/886647","886647")</f>
        <v>886647</v>
      </c>
      <c r="B9488" s="6" t="s">
        <v>9438</v>
      </c>
    </row>
    <row r="9489" spans="1:2" x14ac:dyDescent="0.3">
      <c r="A9489" s="7" t="str">
        <f>HYPERLINK("http://www.eatonpowersource.com/products/configure/industrial%20valves/details/886813","886813")</f>
        <v>886813</v>
      </c>
      <c r="B9489" s="8" t="s">
        <v>9439</v>
      </c>
    </row>
    <row r="9490" spans="1:2" x14ac:dyDescent="0.3">
      <c r="A9490" s="5" t="str">
        <f>HYPERLINK("http://www.eatonpowersource.com/products/configure/industrial%20valves/details/886814","886814")</f>
        <v>886814</v>
      </c>
      <c r="B9490" s="6" t="s">
        <v>9440</v>
      </c>
    </row>
    <row r="9491" spans="1:2" x14ac:dyDescent="0.3">
      <c r="A9491" s="7" t="str">
        <f>HYPERLINK("http://www.eatonpowersource.com/products/configure/industrial%20valves/details/886815","886815")</f>
        <v>886815</v>
      </c>
      <c r="B9491" s="8" t="s">
        <v>9441</v>
      </c>
    </row>
    <row r="9492" spans="1:2" x14ac:dyDescent="0.3">
      <c r="A9492" s="5" t="str">
        <f>HYPERLINK("http://www.eatonpowersource.com/products/configure/industrial%20valves/details/927624","927624")</f>
        <v>927624</v>
      </c>
      <c r="B9492" s="6" t="s">
        <v>9442</v>
      </c>
    </row>
    <row r="9493" spans="1:2" x14ac:dyDescent="0.3">
      <c r="A9493" s="7" t="str">
        <f>HYPERLINK("http://www.eatonpowersource.com/products/configure/industrial%20valves/details/927792","927792")</f>
        <v>927792</v>
      </c>
      <c r="B9493" s="8" t="s">
        <v>9443</v>
      </c>
    </row>
    <row r="9494" spans="1:2" x14ac:dyDescent="0.3">
      <c r="A9494" s="5" t="str">
        <f>HYPERLINK("http://www.eatonpowersource.com/products/configure/industrial%20valves/details/02-156743","02-156743")</f>
        <v>02-156743</v>
      </c>
      <c r="B9494" s="6" t="s">
        <v>9444</v>
      </c>
    </row>
    <row r="9495" spans="1:2" x14ac:dyDescent="0.3">
      <c r="A9495" s="7" t="str">
        <f>HYPERLINK("http://www.eatonpowersource.com/products/configure/industrial%20valves/details/02-156745","02-156745")</f>
        <v>02-156745</v>
      </c>
      <c r="B9495" s="8" t="s">
        <v>9445</v>
      </c>
    </row>
    <row r="9496" spans="1:2" x14ac:dyDescent="0.3">
      <c r="A9496" s="5" t="str">
        <f>HYPERLINK("http://www.eatonpowersource.com/products/configure/industrial%20valves/details/02-156746","02-156746")</f>
        <v>02-156746</v>
      </c>
      <c r="B9496" s="6" t="s">
        <v>9446</v>
      </c>
    </row>
    <row r="9497" spans="1:2" x14ac:dyDescent="0.3">
      <c r="A9497" s="7" t="str">
        <f>HYPERLINK("http://www.eatonpowersource.com/products/configure/industrial%20valves/details/02-156748","02-156748")</f>
        <v>02-156748</v>
      </c>
      <c r="B9497" s="8" t="s">
        <v>9447</v>
      </c>
    </row>
    <row r="9498" spans="1:2" x14ac:dyDescent="0.3">
      <c r="A9498" s="5" t="str">
        <f>HYPERLINK("http://www.eatonpowersource.com/products/configure/industrial%20valves/details/02-156859","02-156859")</f>
        <v>02-156859</v>
      </c>
      <c r="B9498" s="6" t="s">
        <v>9448</v>
      </c>
    </row>
    <row r="9499" spans="1:2" x14ac:dyDescent="0.3">
      <c r="A9499" s="7" t="str">
        <f>HYPERLINK("http://www.eatonpowersource.com/products/configure/industrial%20valves/details/02-156870","02-156870")</f>
        <v>02-156870</v>
      </c>
      <c r="B9499" s="8" t="s">
        <v>9449</v>
      </c>
    </row>
    <row r="9500" spans="1:2" x14ac:dyDescent="0.3">
      <c r="A9500" s="5" t="str">
        <f>HYPERLINK("http://www.eatonpowersource.com/products/configure/industrial%20valves/details/02-156873","02-156873")</f>
        <v>02-156873</v>
      </c>
      <c r="B9500" s="6" t="s">
        <v>9450</v>
      </c>
    </row>
    <row r="9501" spans="1:2" x14ac:dyDescent="0.3">
      <c r="A9501" s="7" t="str">
        <f>HYPERLINK("http://www.eatonpowersource.com/products/configure/industrial%20valves/details/02-156874","02-156874")</f>
        <v>02-156874</v>
      </c>
      <c r="B9501" s="8" t="s">
        <v>9451</v>
      </c>
    </row>
    <row r="9502" spans="1:2" x14ac:dyDescent="0.3">
      <c r="A9502" s="5" t="str">
        <f>HYPERLINK("http://www.eatonpowersource.com/products/configure/industrial%20valves/details/02-156875","02-156875")</f>
        <v>02-156875</v>
      </c>
      <c r="B9502" s="6" t="s">
        <v>9452</v>
      </c>
    </row>
    <row r="9503" spans="1:2" x14ac:dyDescent="0.3">
      <c r="A9503" s="7" t="str">
        <f>HYPERLINK("http://www.eatonpowersource.com/products/configure/industrial%20valves/details/02-156876","02-156876")</f>
        <v>02-156876</v>
      </c>
      <c r="B9503" s="8" t="s">
        <v>9453</v>
      </c>
    </row>
    <row r="9504" spans="1:2" x14ac:dyDescent="0.3">
      <c r="A9504" s="5" t="str">
        <f>HYPERLINK("http://www.eatonpowersource.com/products/configure/industrial%20valves/details/02-156879","02-156879")</f>
        <v>02-156879</v>
      </c>
      <c r="B9504" s="6" t="s">
        <v>9454</v>
      </c>
    </row>
    <row r="9505" spans="1:2" x14ac:dyDescent="0.3">
      <c r="A9505" s="7" t="str">
        <f>HYPERLINK("http://www.eatonpowersource.com/products/configure/industrial%20valves/details/02-156883","02-156883")</f>
        <v>02-156883</v>
      </c>
      <c r="B9505" s="8" t="s">
        <v>9455</v>
      </c>
    </row>
    <row r="9506" spans="1:2" x14ac:dyDescent="0.3">
      <c r="A9506" s="5" t="str">
        <f>HYPERLINK("http://www.eatonpowersource.com/products/configure/industrial%20valves/details/02-156927","02-156927")</f>
        <v>02-156927</v>
      </c>
      <c r="B9506" s="6" t="s">
        <v>9456</v>
      </c>
    </row>
    <row r="9507" spans="1:2" x14ac:dyDescent="0.3">
      <c r="A9507" s="7" t="str">
        <f>HYPERLINK("http://www.eatonpowersource.com/products/configure/industrial%20valves/details/02-156930","02-156930")</f>
        <v>02-156930</v>
      </c>
      <c r="B9507" s="8" t="s">
        <v>9457</v>
      </c>
    </row>
    <row r="9508" spans="1:2" x14ac:dyDescent="0.3">
      <c r="A9508" s="5" t="str">
        <f>HYPERLINK("http://www.eatonpowersource.com/products/configure/industrial%20valves/details/02-157501","02-157501")</f>
        <v>02-157501</v>
      </c>
      <c r="B9508" s="6" t="s">
        <v>9458</v>
      </c>
    </row>
    <row r="9509" spans="1:2" x14ac:dyDescent="0.3">
      <c r="A9509" s="7" t="str">
        <f>HYPERLINK("http://www.eatonpowersource.com/products/configure/industrial%20valves/details/02-332479","02-332479")</f>
        <v>02-332479</v>
      </c>
      <c r="B9509" s="8" t="s">
        <v>9459</v>
      </c>
    </row>
    <row r="9510" spans="1:2" x14ac:dyDescent="0.3">
      <c r="A9510" s="5" t="str">
        <f>HYPERLINK("http://www.eatonpowersource.com/products/configure/industrial%20valves/details/02-350015","02-350015")</f>
        <v>02-350015</v>
      </c>
      <c r="B9510" s="6" t="s">
        <v>9460</v>
      </c>
    </row>
    <row r="9511" spans="1:2" x14ac:dyDescent="0.3">
      <c r="A9511" s="7" t="str">
        <f>HYPERLINK("http://www.eatonpowersource.com/products/configure/industrial%20valves/details/02-350108","02-350108")</f>
        <v>02-350108</v>
      </c>
      <c r="B9511" s="8" t="s">
        <v>9461</v>
      </c>
    </row>
    <row r="9512" spans="1:2" x14ac:dyDescent="0.3">
      <c r="A9512" s="5" t="str">
        <f>HYPERLINK("http://www.eatonpowersource.com/products/configure/industrial%20valves/details/02-350109","02-350109")</f>
        <v>02-350109</v>
      </c>
      <c r="B9512" s="6" t="s">
        <v>9462</v>
      </c>
    </row>
    <row r="9513" spans="1:2" x14ac:dyDescent="0.3">
      <c r="A9513" s="7" t="str">
        <f>HYPERLINK("http://www.eatonpowersource.com/products/configure/industrial%20valves/details/02-350112","02-350112")</f>
        <v>02-350112</v>
      </c>
      <c r="B9513" s="8" t="s">
        <v>9463</v>
      </c>
    </row>
    <row r="9514" spans="1:2" x14ac:dyDescent="0.3">
      <c r="A9514" s="5" t="str">
        <f>HYPERLINK("http://www.eatonpowersource.com/products/configure/industrial%20valves/details/02-350113","02-350113")</f>
        <v>02-350113</v>
      </c>
      <c r="B9514" s="6" t="s">
        <v>9464</v>
      </c>
    </row>
    <row r="9515" spans="1:2" x14ac:dyDescent="0.3">
      <c r="A9515" s="7" t="str">
        <f>HYPERLINK("http://www.eatonpowersource.com/products/configure/industrial%20valves/details/02-350139","02-350139")</f>
        <v>02-350139</v>
      </c>
      <c r="B9515" s="8" t="s">
        <v>9465</v>
      </c>
    </row>
    <row r="9516" spans="1:2" x14ac:dyDescent="0.3">
      <c r="A9516" s="5" t="str">
        <f>HYPERLINK("http://www.eatonpowersource.com/products/configure/industrial%20valves/details/02-350921","02-350921")</f>
        <v>02-350921</v>
      </c>
      <c r="B9516" s="6" t="s">
        <v>9466</v>
      </c>
    </row>
    <row r="9517" spans="1:2" x14ac:dyDescent="0.3">
      <c r="A9517" s="7" t="str">
        <f>HYPERLINK("http://www.eatonpowersource.com/products/configure/industrial%20valves/details/02-352619","02-352619")</f>
        <v>02-352619</v>
      </c>
      <c r="B9517" s="8" t="s">
        <v>9467</v>
      </c>
    </row>
    <row r="9518" spans="1:2" x14ac:dyDescent="0.3">
      <c r="A9518" s="5" t="str">
        <f>HYPERLINK("http://www.eatonpowersource.com/products/configure/industrial%20valves/details/02-352620","02-352620")</f>
        <v>02-352620</v>
      </c>
      <c r="B9518" s="6" t="s">
        <v>9468</v>
      </c>
    </row>
    <row r="9519" spans="1:2" x14ac:dyDescent="0.3">
      <c r="A9519" s="7" t="str">
        <f>HYPERLINK("http://www.eatonpowersource.com/products/configure/industrial%20valves/details/02-352622","02-352622")</f>
        <v>02-352622</v>
      </c>
      <c r="B9519" s="8" t="s">
        <v>9469</v>
      </c>
    </row>
    <row r="9520" spans="1:2" x14ac:dyDescent="0.3">
      <c r="A9520" s="5" t="str">
        <f>HYPERLINK("http://www.eatonpowersource.com/products/configure/industrial%20valves/details/02-352624","02-352624")</f>
        <v>02-352624</v>
      </c>
      <c r="B9520" s="6" t="s">
        <v>9470</v>
      </c>
    </row>
    <row r="9521" spans="1:2" x14ac:dyDescent="0.3">
      <c r="A9521" s="7" t="str">
        <f>HYPERLINK("http://www.eatonpowersource.com/products/configure/industrial%20valves/details/02-352625","02-352625")</f>
        <v>02-352625</v>
      </c>
      <c r="B9521" s="8" t="s">
        <v>9471</v>
      </c>
    </row>
    <row r="9522" spans="1:2" x14ac:dyDescent="0.3">
      <c r="A9522" s="5" t="str">
        <f>HYPERLINK("http://www.eatonpowersource.com/products/configure/industrial%20valves/details/02-352628","02-352628")</f>
        <v>02-352628</v>
      </c>
      <c r="B9522" s="6" t="s">
        <v>9472</v>
      </c>
    </row>
    <row r="9523" spans="1:2" x14ac:dyDescent="0.3">
      <c r="A9523" s="7" t="str">
        <f>HYPERLINK("http://www.eatonpowersource.com/products/configure/industrial%20valves/details/02-352630","02-352630")</f>
        <v>02-352630</v>
      </c>
      <c r="B9523" s="8" t="s">
        <v>9473</v>
      </c>
    </row>
    <row r="9524" spans="1:2" x14ac:dyDescent="0.3">
      <c r="A9524" s="5" t="str">
        <f>HYPERLINK("http://www.eatonpowersource.com/products/configure/industrial%20valves/details/02-352632","02-352632")</f>
        <v>02-352632</v>
      </c>
      <c r="B9524" s="6" t="s">
        <v>9474</v>
      </c>
    </row>
    <row r="9525" spans="1:2" x14ac:dyDescent="0.3">
      <c r="A9525" s="7" t="str">
        <f>HYPERLINK("http://www.eatonpowersource.com/products/configure/industrial%20valves/details/02-352635","02-352635")</f>
        <v>02-352635</v>
      </c>
      <c r="B9525" s="8" t="s">
        <v>9475</v>
      </c>
    </row>
    <row r="9526" spans="1:2" x14ac:dyDescent="0.3">
      <c r="A9526" s="5" t="str">
        <f>HYPERLINK("http://www.eatonpowersource.com/products/configure/industrial%20valves/details/02-352637","02-352637")</f>
        <v>02-352637</v>
      </c>
      <c r="B9526" s="6" t="s">
        <v>9476</v>
      </c>
    </row>
    <row r="9527" spans="1:2" x14ac:dyDescent="0.3">
      <c r="A9527" s="7" t="str">
        <f>HYPERLINK("http://www.eatonpowersource.com/products/configure/industrial%20valves/details/02-352687","02-352687")</f>
        <v>02-352687</v>
      </c>
      <c r="B9527" s="8" t="s">
        <v>9477</v>
      </c>
    </row>
    <row r="9528" spans="1:2" x14ac:dyDescent="0.3">
      <c r="A9528" s="5" t="str">
        <f>HYPERLINK("http://www.eatonpowersource.com/products/configure/industrial%20valves/details/02-352688","02-352688")</f>
        <v>02-352688</v>
      </c>
      <c r="B9528" s="6" t="s">
        <v>9478</v>
      </c>
    </row>
    <row r="9529" spans="1:2" x14ac:dyDescent="0.3">
      <c r="A9529" s="7" t="str">
        <f>HYPERLINK("http://www.eatonpowersource.com/products/configure/industrial%20valves/details/02-352689","02-352689")</f>
        <v>02-352689</v>
      </c>
      <c r="B9529" s="8" t="s">
        <v>9479</v>
      </c>
    </row>
    <row r="9530" spans="1:2" x14ac:dyDescent="0.3">
      <c r="A9530" s="5" t="str">
        <f>HYPERLINK("http://www.eatonpowersource.com/products/configure/industrial%20valves/details/02-352697","02-352697")</f>
        <v>02-352697</v>
      </c>
      <c r="B9530" s="6" t="s">
        <v>9480</v>
      </c>
    </row>
    <row r="9531" spans="1:2" x14ac:dyDescent="0.3">
      <c r="A9531" s="7" t="str">
        <f>HYPERLINK("http://www.eatonpowersource.com/products/configure/industrial%20valves/details/02-352704","02-352704")</f>
        <v>02-352704</v>
      </c>
      <c r="B9531" s="8" t="s">
        <v>9481</v>
      </c>
    </row>
    <row r="9532" spans="1:2" x14ac:dyDescent="0.3">
      <c r="A9532" s="5" t="str">
        <f>HYPERLINK("http://www.eatonpowersource.com/products/configure/industrial%20valves/details/02-352705","02-352705")</f>
        <v>02-352705</v>
      </c>
      <c r="B9532" s="6" t="s">
        <v>9482</v>
      </c>
    </row>
    <row r="9533" spans="1:2" x14ac:dyDescent="0.3">
      <c r="A9533" s="7" t="str">
        <f>HYPERLINK("http://www.eatonpowersource.com/products/configure/industrial%20valves/details/02-352708","02-352708")</f>
        <v>02-352708</v>
      </c>
      <c r="B9533" s="8" t="s">
        <v>9483</v>
      </c>
    </row>
    <row r="9534" spans="1:2" x14ac:dyDescent="0.3">
      <c r="A9534" s="5" t="str">
        <f>HYPERLINK("http://www.eatonpowersource.com/products/configure/industrial%20valves/details/02-411749","02-411749")</f>
        <v>02-411749</v>
      </c>
      <c r="B9534" s="6" t="s">
        <v>9484</v>
      </c>
    </row>
    <row r="9535" spans="1:2" x14ac:dyDescent="0.3">
      <c r="A9535" s="7" t="str">
        <f>HYPERLINK("http://www.eatonpowersource.com/products/configure/industrial%20valves/details/02-411751","02-411751")</f>
        <v>02-411751</v>
      </c>
      <c r="B9535" s="8" t="s">
        <v>9485</v>
      </c>
    </row>
    <row r="9536" spans="1:2" x14ac:dyDescent="0.3">
      <c r="A9536" s="5" t="str">
        <f>HYPERLINK("http://www.eatonpowersource.com/products/configure/industrial%20valves/details/02-412026","02-412026")</f>
        <v>02-412026</v>
      </c>
      <c r="B9536" s="6" t="s">
        <v>9486</v>
      </c>
    </row>
    <row r="9537" spans="1:2" x14ac:dyDescent="0.3">
      <c r="A9537" s="7" t="str">
        <f>HYPERLINK("http://www.eatonpowersource.com/products/configure/industrial%20valves/details/02-412027","02-412027")</f>
        <v>02-412027</v>
      </c>
      <c r="B9537" s="8" t="s">
        <v>9487</v>
      </c>
    </row>
    <row r="9538" spans="1:2" x14ac:dyDescent="0.3">
      <c r="A9538" s="5" t="str">
        <f>HYPERLINK("http://www.eatonpowersource.com/products/configure/industrial%20valves/details/02-412028","02-412028")</f>
        <v>02-412028</v>
      </c>
      <c r="B9538" s="6" t="s">
        <v>9488</v>
      </c>
    </row>
    <row r="9539" spans="1:2" x14ac:dyDescent="0.3">
      <c r="A9539" s="7" t="str">
        <f>HYPERLINK("http://www.eatonpowersource.com/products/configure/industrial%20valves/details/02-413055","02-413055")</f>
        <v>02-413055</v>
      </c>
      <c r="B9539" s="8" t="s">
        <v>9489</v>
      </c>
    </row>
    <row r="9540" spans="1:2" x14ac:dyDescent="0.3">
      <c r="A9540" s="5" t="str">
        <f>HYPERLINK("http://www.eatonpowersource.com/products/configure/industrial%20valves/details/02-413056","02-413056")</f>
        <v>02-413056</v>
      </c>
      <c r="B9540" s="6" t="s">
        <v>9490</v>
      </c>
    </row>
    <row r="9541" spans="1:2" x14ac:dyDescent="0.3">
      <c r="A9541" s="7" t="str">
        <f>HYPERLINK("http://www.eatonpowersource.com/products/configure/industrial%20valves/details/02-413077","02-413077")</f>
        <v>02-413077</v>
      </c>
      <c r="B9541" s="8" t="s">
        <v>9491</v>
      </c>
    </row>
    <row r="9542" spans="1:2" x14ac:dyDescent="0.3">
      <c r="A9542" s="5" t="str">
        <f>HYPERLINK("http://www.eatonpowersource.com/products/configure/industrial%20valves/details/02-413078","02-413078")</f>
        <v>02-413078</v>
      </c>
      <c r="B9542" s="6" t="s">
        <v>9492</v>
      </c>
    </row>
    <row r="9543" spans="1:2" x14ac:dyDescent="0.3">
      <c r="A9543" s="7" t="str">
        <f>HYPERLINK("http://www.eatonpowersource.com/products/configure/industrial%20valves/details/02-413079","02-413079")</f>
        <v>02-413079</v>
      </c>
      <c r="B9543" s="8" t="s">
        <v>9493</v>
      </c>
    </row>
    <row r="9544" spans="1:2" x14ac:dyDescent="0.3">
      <c r="A9544" s="5" t="str">
        <f>HYPERLINK("http://www.eatonpowersource.com/products/configure/industrial%20valves/details/02-413080","02-413080")</f>
        <v>02-413080</v>
      </c>
      <c r="B9544" s="6" t="s">
        <v>9494</v>
      </c>
    </row>
    <row r="9545" spans="1:2" x14ac:dyDescent="0.3">
      <c r="A9545" s="7" t="str">
        <f>HYPERLINK("http://www.eatonpowersource.com/products/configure/industrial%20valves/details/02-413087","02-413087")</f>
        <v>02-413087</v>
      </c>
      <c r="B9545" s="8" t="s">
        <v>9495</v>
      </c>
    </row>
    <row r="9546" spans="1:2" x14ac:dyDescent="0.3">
      <c r="A9546" s="5" t="str">
        <f>HYPERLINK("http://www.eatonpowersource.com/products/configure/industrial%20valves/details/02-413088","02-413088")</f>
        <v>02-413088</v>
      </c>
      <c r="B9546" s="6" t="s">
        <v>9496</v>
      </c>
    </row>
    <row r="9547" spans="1:2" x14ac:dyDescent="0.3">
      <c r="A9547" s="7" t="str">
        <f>HYPERLINK("http://www.eatonpowersource.com/products/configure/industrial%20valves/details/02-413102","02-413102")</f>
        <v>02-413102</v>
      </c>
      <c r="B9547" s="8" t="s">
        <v>9497</v>
      </c>
    </row>
    <row r="9548" spans="1:2" x14ac:dyDescent="0.3">
      <c r="A9548" s="5" t="str">
        <f>HYPERLINK("http://www.eatonpowersource.com/products/configure/industrial%20valves/details/02-413103","02-413103")</f>
        <v>02-413103</v>
      </c>
      <c r="B9548" s="6" t="s">
        <v>9498</v>
      </c>
    </row>
    <row r="9549" spans="1:2" x14ac:dyDescent="0.3">
      <c r="A9549" s="7" t="str">
        <f>HYPERLINK("http://www.eatonpowersource.com/products/configure/industrial%20valves/details/02-413106","02-413106")</f>
        <v>02-413106</v>
      </c>
      <c r="B9549" s="8" t="s">
        <v>9499</v>
      </c>
    </row>
    <row r="9550" spans="1:2" x14ac:dyDescent="0.3">
      <c r="A9550" s="5" t="str">
        <f>HYPERLINK("http://www.eatonpowersource.com/products/configure/industrial%20valves/details/02-413112","02-413112")</f>
        <v>02-413112</v>
      </c>
      <c r="B9550" s="6" t="s">
        <v>9500</v>
      </c>
    </row>
    <row r="9551" spans="1:2" x14ac:dyDescent="0.3">
      <c r="A9551" s="7" t="str">
        <f>HYPERLINK("http://www.eatonpowersource.com/products/configure/industrial%20valves/details/02-413114","02-413114")</f>
        <v>02-413114</v>
      </c>
      <c r="B9551" s="8" t="s">
        <v>9501</v>
      </c>
    </row>
    <row r="9552" spans="1:2" x14ac:dyDescent="0.3">
      <c r="A9552" s="5" t="str">
        <f>HYPERLINK("http://www.eatonpowersource.com/products/configure/industrial%20valves/details/02-413641","02-413641")</f>
        <v>02-413641</v>
      </c>
      <c r="B9552" s="6" t="s">
        <v>9502</v>
      </c>
    </row>
    <row r="9553" spans="1:2" x14ac:dyDescent="0.3">
      <c r="A9553" s="7" t="str">
        <f>HYPERLINK("http://www.eatonpowersource.com/products/configure/industrial%20valves/details/02-414150","02-414150")</f>
        <v>02-414150</v>
      </c>
      <c r="B9553" s="8" t="s">
        <v>9503</v>
      </c>
    </row>
    <row r="9554" spans="1:2" x14ac:dyDescent="0.3">
      <c r="A9554" s="5" t="str">
        <f>HYPERLINK("http://www.eatonpowersource.com/products/configure/industrial%20valves/details/6042893-001","6042893-001")</f>
        <v>6042893-001</v>
      </c>
      <c r="B9554" s="6" t="s">
        <v>9504</v>
      </c>
    </row>
    <row r="9555" spans="1:2" x14ac:dyDescent="0.3">
      <c r="A9555" s="7" t="str">
        <f>HYPERLINK("http://www.eatonpowersource.com/products/configure/industrial%20valves/details/6042893-002","6042893-002")</f>
        <v>6042893-002</v>
      </c>
      <c r="B9555" s="8" t="s">
        <v>9505</v>
      </c>
    </row>
    <row r="9556" spans="1:2" x14ac:dyDescent="0.3">
      <c r="A9556" s="5" t="str">
        <f>HYPERLINK("http://www.eatonpowersource.com/products/configure/industrial%20valves/details/6042893-003","6042893-003")</f>
        <v>6042893-003</v>
      </c>
      <c r="B9556" s="6" t="s">
        <v>9506</v>
      </c>
    </row>
    <row r="9557" spans="1:2" x14ac:dyDescent="0.3">
      <c r="A9557" s="7" t="str">
        <f>HYPERLINK("http://www.eatonpowersource.com/products/configure/industrial%20valves/details/6042893-004","6042893-004")</f>
        <v>6042893-004</v>
      </c>
      <c r="B9557" s="8" t="s">
        <v>9507</v>
      </c>
    </row>
    <row r="9558" spans="1:2" x14ac:dyDescent="0.3">
      <c r="A9558" s="5" t="str">
        <f>HYPERLINK("http://www.eatonpowersource.com/products/configure/industrial%20valves/details/6042893-005","6042893-005")</f>
        <v>6042893-005</v>
      </c>
      <c r="B9558" s="6" t="s">
        <v>9508</v>
      </c>
    </row>
    <row r="9559" spans="1:2" x14ac:dyDescent="0.3">
      <c r="A9559" s="7" t="str">
        <f>HYPERLINK("http://www.eatonpowersource.com/products/configure/industrial%20valves/details/6042893-006","6042893-006")</f>
        <v>6042893-006</v>
      </c>
      <c r="B9559" s="8" t="s">
        <v>9509</v>
      </c>
    </row>
    <row r="9560" spans="1:2" x14ac:dyDescent="0.3">
      <c r="A9560" s="5" t="str">
        <f>HYPERLINK("http://www.eatonpowersource.com/products/configure/industrial%20valves/details/6042893-007","6042893-007")</f>
        <v>6042893-007</v>
      </c>
      <c r="B9560" s="6" t="s">
        <v>9510</v>
      </c>
    </row>
    <row r="9561" spans="1:2" x14ac:dyDescent="0.3">
      <c r="A9561" s="7" t="str">
        <f>HYPERLINK("http://www.eatonpowersource.com/products/configure/industrial%20valves/details/6042893-008","6042893-008")</f>
        <v>6042893-008</v>
      </c>
      <c r="B9561" s="8" t="s">
        <v>9511</v>
      </c>
    </row>
    <row r="9562" spans="1:2" x14ac:dyDescent="0.3">
      <c r="A9562" s="5" t="str">
        <f>HYPERLINK("http://www.eatonpowersource.com/products/configure/industrial%20valves/details/6042893-009","6042893-009")</f>
        <v>6042893-009</v>
      </c>
      <c r="B9562" s="6" t="s">
        <v>9512</v>
      </c>
    </row>
    <row r="9563" spans="1:2" x14ac:dyDescent="0.3">
      <c r="A9563" s="7" t="str">
        <f>HYPERLINK("http://www.eatonpowersource.com/products/configure/industrial%20valves/details/6042893-010","6042893-010")</f>
        <v>6042893-010</v>
      </c>
      <c r="B9563" s="8" t="s">
        <v>9513</v>
      </c>
    </row>
    <row r="9564" spans="1:2" x14ac:dyDescent="0.3">
      <c r="A9564" s="5" t="str">
        <f>HYPERLINK("http://www.eatonpowersource.com/products/configure/industrial%20valves/details/6042893-011","6042893-011")</f>
        <v>6042893-011</v>
      </c>
      <c r="B9564" s="6" t="s">
        <v>9514</v>
      </c>
    </row>
    <row r="9565" spans="1:2" x14ac:dyDescent="0.3">
      <c r="A9565" s="7" t="str">
        <f>HYPERLINK("http://www.eatonpowersource.com/products/configure/industrial%20valves/details/6042893-012","6042893-012")</f>
        <v>6042893-012</v>
      </c>
      <c r="B9565" s="8" t="s">
        <v>9515</v>
      </c>
    </row>
    <row r="9566" spans="1:2" x14ac:dyDescent="0.3">
      <c r="A9566" s="5" t="str">
        <f>HYPERLINK("http://www.eatonpowersource.com/products/configure/industrial%20valves/details/6042893-013","6042893-013")</f>
        <v>6042893-013</v>
      </c>
      <c r="B9566" s="6" t="s">
        <v>9516</v>
      </c>
    </row>
    <row r="9567" spans="1:2" x14ac:dyDescent="0.3">
      <c r="A9567" s="7" t="str">
        <f>HYPERLINK("http://www.eatonpowersource.com/products/configure/industrial%20valves/details/6042893-014","6042893-014")</f>
        <v>6042893-014</v>
      </c>
      <c r="B9567" s="8" t="s">
        <v>9517</v>
      </c>
    </row>
    <row r="9568" spans="1:2" x14ac:dyDescent="0.3">
      <c r="A9568" s="5" t="str">
        <f>HYPERLINK("http://www.eatonpowersource.com/products/configure/industrial%20valves/details/6042893-015","6042893-015")</f>
        <v>6042893-015</v>
      </c>
      <c r="B9568" s="6" t="s">
        <v>9518</v>
      </c>
    </row>
    <row r="9569" spans="1:2" x14ac:dyDescent="0.3">
      <c r="A9569" s="7" t="str">
        <f>HYPERLINK("http://www.eatonpowersource.com/products/configure/industrial%20valves/details/6042893-016","6042893-016")</f>
        <v>6042893-016</v>
      </c>
      <c r="B9569" s="8" t="s">
        <v>9519</v>
      </c>
    </row>
    <row r="9570" spans="1:2" x14ac:dyDescent="0.3">
      <c r="A9570" s="5" t="str">
        <f>HYPERLINK("http://www.eatonpowersource.com/products/configure/industrial%20valves/details/6042893-017","6042893-017")</f>
        <v>6042893-017</v>
      </c>
      <c r="B9570" s="6" t="s">
        <v>9520</v>
      </c>
    </row>
    <row r="9571" spans="1:2" x14ac:dyDescent="0.3">
      <c r="A9571" s="7" t="str">
        <f>HYPERLINK("http://www.eatonpowersource.com/products/configure/industrial%20valves/details/6042893-018","6042893-018")</f>
        <v>6042893-018</v>
      </c>
      <c r="B9571" s="8" t="s">
        <v>9521</v>
      </c>
    </row>
    <row r="9572" spans="1:2" x14ac:dyDescent="0.3">
      <c r="A9572" s="5" t="str">
        <f>HYPERLINK("http://www.eatonpowersource.com/products/configure/industrial%20valves/details/6042893-019","6042893-019")</f>
        <v>6042893-019</v>
      </c>
      <c r="B9572" s="6" t="s">
        <v>9522</v>
      </c>
    </row>
    <row r="9573" spans="1:2" x14ac:dyDescent="0.3">
      <c r="A9573" s="7" t="str">
        <f>HYPERLINK("http://www.eatonpowersource.com/products/configure/industrial%20valves/details/6042893-020","6042893-020")</f>
        <v>6042893-020</v>
      </c>
      <c r="B9573" s="8" t="s">
        <v>9523</v>
      </c>
    </row>
    <row r="9574" spans="1:2" x14ac:dyDescent="0.3">
      <c r="A9574" s="5" t="str">
        <f>HYPERLINK("http://www.eatonpowersource.com/products/configure/industrial%20valves/details/6042893-021","6042893-021")</f>
        <v>6042893-021</v>
      </c>
      <c r="B9574" s="6" t="s">
        <v>9524</v>
      </c>
    </row>
    <row r="9575" spans="1:2" x14ac:dyDescent="0.3">
      <c r="A9575" s="7" t="str">
        <f>HYPERLINK("http://www.eatonpowersource.com/products/configure/industrial%20valves/details/6042893-022","6042893-022")</f>
        <v>6042893-022</v>
      </c>
      <c r="B9575" s="8" t="s">
        <v>9523</v>
      </c>
    </row>
    <row r="9576" spans="1:2" x14ac:dyDescent="0.3">
      <c r="A9576" s="5" t="str">
        <f>HYPERLINK("http://www.eatonpowersource.com/products/configure/industrial%20valves/details/6042893-023","6042893-023")</f>
        <v>6042893-023</v>
      </c>
      <c r="B9576" s="6" t="s">
        <v>9525</v>
      </c>
    </row>
    <row r="9577" spans="1:2" x14ac:dyDescent="0.3">
      <c r="A9577" s="7" t="str">
        <f>HYPERLINK("http://www.eatonpowersource.com/products/configure/industrial%20valves/details/6042893-024","6042893-024")</f>
        <v>6042893-024</v>
      </c>
      <c r="B9577" s="8" t="s">
        <v>9526</v>
      </c>
    </row>
    <row r="9578" spans="1:2" x14ac:dyDescent="0.3">
      <c r="A9578" s="5" t="str">
        <f>HYPERLINK("http://www.eatonpowersource.com/products/configure/industrial%20valves/details/6042893-025","6042893-025")</f>
        <v>6042893-025</v>
      </c>
      <c r="B9578" s="6" t="s">
        <v>9527</v>
      </c>
    </row>
    <row r="9579" spans="1:2" x14ac:dyDescent="0.3">
      <c r="A9579" s="7" t="str">
        <f>HYPERLINK("http://www.eatonpowersource.com/products/configure/industrial%20valves/details/6042893-026","6042893-026")</f>
        <v>6042893-026</v>
      </c>
      <c r="B9579" s="8" t="s">
        <v>9528</v>
      </c>
    </row>
    <row r="9580" spans="1:2" x14ac:dyDescent="0.3">
      <c r="A9580" s="5" t="str">
        <f>HYPERLINK("http://www.eatonpowersource.com/products/configure/industrial%20valves/details/6042893-027","6042893-027")</f>
        <v>6042893-027</v>
      </c>
      <c r="B9580" s="6" t="s">
        <v>9529</v>
      </c>
    </row>
    <row r="9581" spans="1:2" x14ac:dyDescent="0.3">
      <c r="A9581" s="7" t="str">
        <f>HYPERLINK("http://www.eatonpowersource.com/products/configure/industrial%20valves/details/6042893-028","6042893-028")</f>
        <v>6042893-028</v>
      </c>
      <c r="B9581" s="8" t="s">
        <v>9530</v>
      </c>
    </row>
    <row r="9582" spans="1:2" x14ac:dyDescent="0.3">
      <c r="A9582" s="5" t="str">
        <f>HYPERLINK("http://www.eatonpowersource.com/products/configure/industrial%20valves/details/6042893-029","6042893-029")</f>
        <v>6042893-029</v>
      </c>
      <c r="B9582" s="6" t="s">
        <v>9531</v>
      </c>
    </row>
    <row r="9583" spans="1:2" x14ac:dyDescent="0.3">
      <c r="A9583" s="7" t="str">
        <f>HYPERLINK("http://www.eatonpowersource.com/products/configure/industrial%20valves/details/6042893-030","6042893-030")</f>
        <v>6042893-030</v>
      </c>
      <c r="B9583" s="8" t="s">
        <v>9532</v>
      </c>
    </row>
    <row r="9584" spans="1:2" x14ac:dyDescent="0.3">
      <c r="A9584" s="5" t="str">
        <f>HYPERLINK("http://www.eatonpowersource.com/products/configure/industrial%20valves/details/6042893-031","6042893-031")</f>
        <v>6042893-031</v>
      </c>
      <c r="B9584" s="6" t="s">
        <v>9533</v>
      </c>
    </row>
    <row r="9585" spans="1:2" x14ac:dyDescent="0.3">
      <c r="A9585" s="7" t="str">
        <f>HYPERLINK("http://www.eatonpowersource.com/products/configure/industrial%20valves/details/6042893-032","6042893-032")</f>
        <v>6042893-032</v>
      </c>
      <c r="B9585" s="8" t="s">
        <v>9534</v>
      </c>
    </row>
    <row r="9586" spans="1:2" x14ac:dyDescent="0.3">
      <c r="A9586" s="5" t="str">
        <f>HYPERLINK("http://www.eatonpowersource.com/products/configure/industrial%20valves/details/6042893-033","6042893-033")</f>
        <v>6042893-033</v>
      </c>
      <c r="B9586" s="6" t="s">
        <v>9535</v>
      </c>
    </row>
    <row r="9587" spans="1:2" x14ac:dyDescent="0.3">
      <c r="A9587" s="7" t="str">
        <f>HYPERLINK("http://www.eatonpowersource.com/products/configure/industrial%20valves/details/978451","978451")</f>
        <v>978451</v>
      </c>
      <c r="B9587" s="8" t="s">
        <v>9536</v>
      </c>
    </row>
    <row r="9588" spans="1:2" x14ac:dyDescent="0.3">
      <c r="A9588" s="5" t="str">
        <f>HYPERLINK("http://www.eatonpowersource.com/products/configure/industrial%20valves/details/978452","978452")</f>
        <v>978452</v>
      </c>
      <c r="B9588" s="6" t="s">
        <v>9537</v>
      </c>
    </row>
    <row r="9589" spans="1:2" x14ac:dyDescent="0.3">
      <c r="A9589" s="7" t="str">
        <f>HYPERLINK("http://www.eatonpowersource.com/products/configure/industrial%20valves/details/978453","978453")</f>
        <v>978453</v>
      </c>
      <c r="B9589" s="8" t="s">
        <v>9538</v>
      </c>
    </row>
    <row r="9590" spans="1:2" x14ac:dyDescent="0.3">
      <c r="A9590" s="5" t="str">
        <f>HYPERLINK("http://www.eatonpowersource.com/products/configure/industrial%20valves/details/978454","978454")</f>
        <v>978454</v>
      </c>
      <c r="B9590" s="6" t="s">
        <v>9539</v>
      </c>
    </row>
    <row r="9591" spans="1:2" x14ac:dyDescent="0.3">
      <c r="A9591" s="7" t="str">
        <f>HYPERLINK("http://www.eatonpowersource.com/products/configure/industrial%20valves/details/978455","978455")</f>
        <v>978455</v>
      </c>
      <c r="B9591" s="8" t="s">
        <v>9540</v>
      </c>
    </row>
    <row r="9592" spans="1:2" x14ac:dyDescent="0.3">
      <c r="A9592" s="5" t="str">
        <f>HYPERLINK("http://www.eatonpowersource.com/products/configure/industrial%20valves/details/02-318362","02-318362")</f>
        <v>02-318362</v>
      </c>
      <c r="B9592" s="6" t="s">
        <v>9541</v>
      </c>
    </row>
    <row r="9593" spans="1:2" x14ac:dyDescent="0.3">
      <c r="A9593" s="7" t="str">
        <f>HYPERLINK("http://www.eatonpowersource.com/products/configure/industrial%20valves/details/02-333772","02-333772")</f>
        <v>02-333772</v>
      </c>
      <c r="B9593" s="8" t="s">
        <v>9542</v>
      </c>
    </row>
    <row r="9594" spans="1:2" x14ac:dyDescent="0.3">
      <c r="A9594" s="5" t="str">
        <f>HYPERLINK("http://www.eatonpowersource.com/products/configure/industrial%20valves/details/400733","400733")</f>
        <v>400733</v>
      </c>
      <c r="B9594" s="6" t="s">
        <v>9543</v>
      </c>
    </row>
    <row r="9595" spans="1:2" x14ac:dyDescent="0.3">
      <c r="A9595" s="7" t="str">
        <f>HYPERLINK("http://www.eatonpowersource.com/products/configure/industrial%20valves/details/466371","466371")</f>
        <v>466371</v>
      </c>
      <c r="B9595" s="8" t="s">
        <v>9544</v>
      </c>
    </row>
    <row r="9596" spans="1:2" x14ac:dyDescent="0.3">
      <c r="A9596" s="5" t="str">
        <f>HYPERLINK("http://www.eatonpowersource.com/products/configure/industrial%20valves/details/466372","466372")</f>
        <v>466372</v>
      </c>
      <c r="B9596" s="6" t="s">
        <v>9545</v>
      </c>
    </row>
    <row r="9597" spans="1:2" x14ac:dyDescent="0.3">
      <c r="A9597" s="7" t="str">
        <f>HYPERLINK("http://www.eatonpowersource.com/products/configure/industrial%20valves/details/466373","466373")</f>
        <v>466373</v>
      </c>
      <c r="B9597" s="8" t="s">
        <v>9546</v>
      </c>
    </row>
    <row r="9598" spans="1:2" x14ac:dyDescent="0.3">
      <c r="A9598" s="5" t="str">
        <f>HYPERLINK("http://www.eatonpowersource.com/products/configure/industrial%20valves/details/466374","466374")</f>
        <v>466374</v>
      </c>
      <c r="B9598" s="6" t="s">
        <v>9547</v>
      </c>
    </row>
    <row r="9599" spans="1:2" x14ac:dyDescent="0.3">
      <c r="A9599" s="7" t="str">
        <f>HYPERLINK("http://www.eatonpowersource.com/products/configure/industrial%20valves/details/466375","466375")</f>
        <v>466375</v>
      </c>
      <c r="B9599" s="8" t="s">
        <v>9548</v>
      </c>
    </row>
    <row r="9600" spans="1:2" x14ac:dyDescent="0.3">
      <c r="A9600" s="5" t="str">
        <f>HYPERLINK("http://www.eatonpowersource.com/products/configure/industrial%20valves/details/466381","466381")</f>
        <v>466381</v>
      </c>
      <c r="B9600" s="6" t="s">
        <v>9549</v>
      </c>
    </row>
    <row r="9601" spans="1:2" x14ac:dyDescent="0.3">
      <c r="A9601" s="7" t="str">
        <f>HYPERLINK("http://www.eatonpowersource.com/products/configure/industrial%20valves/details/466382","466382")</f>
        <v>466382</v>
      </c>
      <c r="B9601" s="8" t="s">
        <v>9550</v>
      </c>
    </row>
    <row r="9602" spans="1:2" x14ac:dyDescent="0.3">
      <c r="A9602" s="5" t="str">
        <f>HYPERLINK("http://www.eatonpowersource.com/products/configure/industrial%20valves/details/466385","466385")</f>
        <v>466385</v>
      </c>
      <c r="B9602" s="6" t="s">
        <v>9551</v>
      </c>
    </row>
    <row r="9603" spans="1:2" x14ac:dyDescent="0.3">
      <c r="A9603" s="7" t="str">
        <f>HYPERLINK("http://www.eatonpowersource.com/products/configure/industrial%20valves/details/466387","466387")</f>
        <v>466387</v>
      </c>
      <c r="B9603" s="8" t="s">
        <v>9552</v>
      </c>
    </row>
    <row r="9604" spans="1:2" x14ac:dyDescent="0.3">
      <c r="A9604" s="5" t="str">
        <f>HYPERLINK("http://www.eatonpowersource.com/products/configure/industrial%20valves/details/615457","615457")</f>
        <v>615457</v>
      </c>
      <c r="B9604" s="6" t="s">
        <v>9553</v>
      </c>
    </row>
    <row r="9605" spans="1:2" x14ac:dyDescent="0.3">
      <c r="A9605" s="7" t="str">
        <f>HYPERLINK("http://www.eatonpowersource.com/products/configure/industrial%20valves/details/615458","615458")</f>
        <v>615458</v>
      </c>
      <c r="B9605" s="8" t="s">
        <v>9554</v>
      </c>
    </row>
    <row r="9606" spans="1:2" x14ac:dyDescent="0.3">
      <c r="A9606" s="5" t="str">
        <f>HYPERLINK("http://www.eatonpowersource.com/products/configure/industrial%20valves/details/638840","638840")</f>
        <v>638840</v>
      </c>
      <c r="B9606" s="6" t="s">
        <v>9555</v>
      </c>
    </row>
    <row r="9607" spans="1:2" x14ac:dyDescent="0.3">
      <c r="A9607" s="7" t="str">
        <f>HYPERLINK("http://www.eatonpowersource.com/products/configure/industrial%20valves/details/711590","711590")</f>
        <v>711590</v>
      </c>
      <c r="B9607" s="8" t="s">
        <v>9556</v>
      </c>
    </row>
    <row r="9608" spans="1:2" x14ac:dyDescent="0.3">
      <c r="A9608" s="5" t="str">
        <f>HYPERLINK("http://www.eatonpowersource.com/products/configure/industrial%20valves/details/711903","711903")</f>
        <v>711903</v>
      </c>
      <c r="B9608" s="6" t="s">
        <v>9557</v>
      </c>
    </row>
    <row r="9609" spans="1:2" x14ac:dyDescent="0.3">
      <c r="A9609" s="7" t="str">
        <f>HYPERLINK("http://www.eatonpowersource.com/products/configure/industrial%20valves/details/711921","711921")</f>
        <v>711921</v>
      </c>
      <c r="B9609" s="8" t="s">
        <v>9558</v>
      </c>
    </row>
    <row r="9610" spans="1:2" x14ac:dyDescent="0.3">
      <c r="A9610" s="5" t="str">
        <f>HYPERLINK("http://www.eatonpowersource.com/products/configure/industrial%20valves/details/865895","865895")</f>
        <v>865895</v>
      </c>
      <c r="B9610" s="6" t="s">
        <v>9559</v>
      </c>
    </row>
    <row r="9611" spans="1:2" x14ac:dyDescent="0.3">
      <c r="A9611" s="7" t="str">
        <f>HYPERLINK("http://www.eatonpowersource.com/products/configure/industrial%20valves/details/866305","866305")</f>
        <v>866305</v>
      </c>
      <c r="B9611" s="8" t="s">
        <v>9560</v>
      </c>
    </row>
    <row r="9612" spans="1:2" x14ac:dyDescent="0.3">
      <c r="A9612" s="5" t="str">
        <f>HYPERLINK("http://www.eatonpowersource.com/products/configure/industrial%20valves/details/894795","894795")</f>
        <v>894795</v>
      </c>
      <c r="B9612" s="6" t="s">
        <v>9561</v>
      </c>
    </row>
    <row r="9613" spans="1:2" x14ac:dyDescent="0.3">
      <c r="A9613" s="7" t="str">
        <f>HYPERLINK("http://www.eatonpowersource.com/products/configure/industrial%20valves/details/894816","894816")</f>
        <v>894816</v>
      </c>
      <c r="B9613" s="8" t="s">
        <v>9562</v>
      </c>
    </row>
    <row r="9614" spans="1:2" x14ac:dyDescent="0.3">
      <c r="A9614" s="5" t="str">
        <f>HYPERLINK("http://www.eatonpowersource.com/products/configure/industrial%20valves/details/894820","894820")</f>
        <v>894820</v>
      </c>
      <c r="B9614" s="6" t="s">
        <v>9563</v>
      </c>
    </row>
    <row r="9615" spans="1:2" x14ac:dyDescent="0.3">
      <c r="A9615" s="7" t="str">
        <f>HYPERLINK("http://www.eatonpowersource.com/products/configure/industrial%20valves/details/984618","984618")</f>
        <v>984618</v>
      </c>
      <c r="B9615" s="8" t="s">
        <v>9564</v>
      </c>
    </row>
    <row r="9616" spans="1:2" x14ac:dyDescent="0.3">
      <c r="A9616" s="5" t="str">
        <f>HYPERLINK("http://www.eatonpowersource.com/products/configure/industrial%20valves/details/02-353020","02-353020")</f>
        <v>02-353020</v>
      </c>
      <c r="B9616" s="6" t="s">
        <v>9565</v>
      </c>
    </row>
    <row r="9617" spans="1:2" x14ac:dyDescent="0.3">
      <c r="A9617" s="7" t="str">
        <f>HYPERLINK("http://www.eatonpowersource.com/products/configure/industrial%20valves/details/02-353021","02-353021")</f>
        <v>02-353021</v>
      </c>
      <c r="B9617" s="8" t="s">
        <v>9566</v>
      </c>
    </row>
    <row r="9618" spans="1:2" x14ac:dyDescent="0.3">
      <c r="A9618" s="5" t="str">
        <f>HYPERLINK("http://www.eatonpowersource.com/products/configure/industrial%20valves/details/02-353022","02-353022")</f>
        <v>02-353022</v>
      </c>
      <c r="B9618" s="6" t="s">
        <v>9567</v>
      </c>
    </row>
    <row r="9619" spans="1:2" x14ac:dyDescent="0.3">
      <c r="A9619" s="7" t="str">
        <f>HYPERLINK("http://www.eatonpowersource.com/products/configure/industrial%20valves/details/02-353023","02-353023")</f>
        <v>02-353023</v>
      </c>
      <c r="B9619" s="8" t="s">
        <v>9568</v>
      </c>
    </row>
    <row r="9620" spans="1:2" x14ac:dyDescent="0.3">
      <c r="A9620" s="5" t="str">
        <f>HYPERLINK("http://www.eatonpowersource.com/products/configure/industrial%20valves/details/02-353024","02-353024")</f>
        <v>02-353024</v>
      </c>
      <c r="B9620" s="6" t="s">
        <v>9569</v>
      </c>
    </row>
    <row r="9621" spans="1:2" x14ac:dyDescent="0.3">
      <c r="A9621" s="7" t="str">
        <f>HYPERLINK("http://www.eatonpowersource.com/products/configure/industrial%20valves/details/02-353025","02-353025")</f>
        <v>02-353025</v>
      </c>
      <c r="B9621" s="8" t="s">
        <v>9570</v>
      </c>
    </row>
    <row r="9622" spans="1:2" x14ac:dyDescent="0.3">
      <c r="A9622" s="5" t="str">
        <f>HYPERLINK("http://www.eatonpowersource.com/products/configure/industrial%20valves/details/02-353026","02-353026")</f>
        <v>02-353026</v>
      </c>
      <c r="B9622" s="6" t="s">
        <v>9571</v>
      </c>
    </row>
    <row r="9623" spans="1:2" x14ac:dyDescent="0.3">
      <c r="A9623" s="7" t="str">
        <f>HYPERLINK("http://www.eatonpowersource.com/products/configure/industrial%20valves/details/02-353027","02-353027")</f>
        <v>02-353027</v>
      </c>
      <c r="B9623" s="8" t="s">
        <v>9572</v>
      </c>
    </row>
    <row r="9624" spans="1:2" x14ac:dyDescent="0.3">
      <c r="A9624" s="5" t="str">
        <f>HYPERLINK("http://www.eatonpowersource.com/products/configure/industrial%20valves/details/02-353028","02-353028")</f>
        <v>02-353028</v>
      </c>
      <c r="B9624" s="6" t="s">
        <v>9573</v>
      </c>
    </row>
    <row r="9625" spans="1:2" x14ac:dyDescent="0.3">
      <c r="A9625" s="7" t="str">
        <f>HYPERLINK("http://www.eatonpowersource.com/products/configure/industrial%20valves/details/02-353029","02-353029")</f>
        <v>02-353029</v>
      </c>
      <c r="B9625" s="8" t="s">
        <v>9574</v>
      </c>
    </row>
    <row r="9626" spans="1:2" x14ac:dyDescent="0.3">
      <c r="A9626" s="5" t="str">
        <f>HYPERLINK("http://www.eatonpowersource.com/products/configure/industrial%20valves/details/02-353030","02-353030")</f>
        <v>02-353030</v>
      </c>
      <c r="B9626" s="6" t="s">
        <v>9575</v>
      </c>
    </row>
    <row r="9627" spans="1:2" x14ac:dyDescent="0.3">
      <c r="A9627" s="7" t="str">
        <f>HYPERLINK("http://www.eatonpowersource.com/products/configure/industrial%20valves/details/02-353031","02-353031")</f>
        <v>02-353031</v>
      </c>
      <c r="B9627" s="8" t="s">
        <v>9576</v>
      </c>
    </row>
    <row r="9628" spans="1:2" x14ac:dyDescent="0.3">
      <c r="A9628" s="5" t="str">
        <f>HYPERLINK("http://www.eatonpowersource.com/products/configure/industrial%20valves/details/02-353032","02-353032")</f>
        <v>02-353032</v>
      </c>
      <c r="B9628" s="6" t="s">
        <v>9577</v>
      </c>
    </row>
    <row r="9629" spans="1:2" x14ac:dyDescent="0.3">
      <c r="A9629" s="7" t="str">
        <f>HYPERLINK("http://www.eatonpowersource.com/products/configure/industrial%20valves/details/02-353033","02-353033")</f>
        <v>02-353033</v>
      </c>
      <c r="B9629" s="8" t="s">
        <v>9578</v>
      </c>
    </row>
    <row r="9630" spans="1:2" x14ac:dyDescent="0.3">
      <c r="A9630" s="5" t="str">
        <f>HYPERLINK("http://www.eatonpowersource.com/products/configure/industrial%20valves/details/02-353034","02-353034")</f>
        <v>02-353034</v>
      </c>
      <c r="B9630" s="6" t="s">
        <v>9579</v>
      </c>
    </row>
    <row r="9631" spans="1:2" x14ac:dyDescent="0.3">
      <c r="A9631" s="7" t="str">
        <f>HYPERLINK("http://www.eatonpowersource.com/products/configure/industrial%20valves/details/02-353035","02-353035")</f>
        <v>02-353035</v>
      </c>
      <c r="B9631" s="8" t="s">
        <v>9580</v>
      </c>
    </row>
    <row r="9632" spans="1:2" x14ac:dyDescent="0.3">
      <c r="A9632" s="5" t="str">
        <f>HYPERLINK("http://www.eatonpowersource.com/products/configure/industrial%20valves/details/02-353036","02-353036")</f>
        <v>02-353036</v>
      </c>
      <c r="B9632" s="6" t="s">
        <v>9581</v>
      </c>
    </row>
    <row r="9633" spans="1:2" x14ac:dyDescent="0.3">
      <c r="A9633" s="7" t="str">
        <f>HYPERLINK("http://www.eatonpowersource.com/products/configure/industrial%20valves/details/02-353037","02-353037")</f>
        <v>02-353037</v>
      </c>
      <c r="B9633" s="8" t="s">
        <v>9582</v>
      </c>
    </row>
    <row r="9634" spans="1:2" x14ac:dyDescent="0.3">
      <c r="A9634" s="5" t="str">
        <f>HYPERLINK("http://www.eatonpowersource.com/products/configure/industrial%20valves/details/02-353038","02-353038")</f>
        <v>02-353038</v>
      </c>
      <c r="B9634" s="6" t="s">
        <v>9583</v>
      </c>
    </row>
    <row r="9635" spans="1:2" x14ac:dyDescent="0.3">
      <c r="A9635" s="7" t="str">
        <f>HYPERLINK("http://www.eatonpowersource.com/products/configure/industrial%20valves/details/02-353039","02-353039")</f>
        <v>02-353039</v>
      </c>
      <c r="B9635" s="8" t="s">
        <v>9584</v>
      </c>
    </row>
    <row r="9636" spans="1:2" x14ac:dyDescent="0.3">
      <c r="A9636" s="5" t="str">
        <f>HYPERLINK("http://www.eatonpowersource.com/products/configure/industrial%20valves/details/02-353040","02-353040")</f>
        <v>02-353040</v>
      </c>
      <c r="B9636" s="6" t="s">
        <v>9585</v>
      </c>
    </row>
    <row r="9637" spans="1:2" x14ac:dyDescent="0.3">
      <c r="A9637" s="7" t="str">
        <f>HYPERLINK("http://www.eatonpowersource.com/products/configure/industrial%20valves/details/02-353041","02-353041")</f>
        <v>02-353041</v>
      </c>
      <c r="B9637" s="8" t="s">
        <v>9586</v>
      </c>
    </row>
    <row r="9638" spans="1:2" x14ac:dyDescent="0.3">
      <c r="A9638" s="5" t="str">
        <f>HYPERLINK("http://www.eatonpowersource.com/products/configure/industrial%20valves/details/02-353042","02-353042")</f>
        <v>02-353042</v>
      </c>
      <c r="B9638" s="6" t="s">
        <v>9587</v>
      </c>
    </row>
    <row r="9639" spans="1:2" x14ac:dyDescent="0.3">
      <c r="A9639" s="7" t="str">
        <f>HYPERLINK("http://www.eatonpowersource.com/products/configure/industrial%20valves/details/02-353043","02-353043")</f>
        <v>02-353043</v>
      </c>
      <c r="B9639" s="8" t="s">
        <v>9588</v>
      </c>
    </row>
    <row r="9640" spans="1:2" x14ac:dyDescent="0.3">
      <c r="A9640" s="5" t="str">
        <f>HYPERLINK("http://www.eatonpowersource.com/products/configure/industrial%20valves/details/02-353044","02-353044")</f>
        <v>02-353044</v>
      </c>
      <c r="B9640" s="6" t="s">
        <v>9589</v>
      </c>
    </row>
    <row r="9641" spans="1:2" x14ac:dyDescent="0.3">
      <c r="A9641" s="7" t="str">
        <f>HYPERLINK("http://www.eatonpowersource.com/products/configure/industrial%20valves/details/02-353045","02-353045")</f>
        <v>02-353045</v>
      </c>
      <c r="B9641" s="8" t="s">
        <v>9590</v>
      </c>
    </row>
    <row r="9642" spans="1:2" x14ac:dyDescent="0.3">
      <c r="A9642" s="5" t="str">
        <f>HYPERLINK("http://www.eatonpowersource.com/products/configure/industrial%20valves/details/02-353046","02-353046")</f>
        <v>02-353046</v>
      </c>
      <c r="B9642" s="6" t="s">
        <v>9591</v>
      </c>
    </row>
    <row r="9643" spans="1:2" x14ac:dyDescent="0.3">
      <c r="A9643" s="7" t="str">
        <f>HYPERLINK("http://www.eatonpowersource.com/products/configure/industrial%20valves/details/02-353047","02-353047")</f>
        <v>02-353047</v>
      </c>
      <c r="B9643" s="8" t="s">
        <v>9592</v>
      </c>
    </row>
    <row r="9644" spans="1:2" x14ac:dyDescent="0.3">
      <c r="A9644" s="5" t="str">
        <f>HYPERLINK("http://www.eatonpowersource.com/products/configure/industrial%20valves/details/02-353048","02-353048")</f>
        <v>02-353048</v>
      </c>
      <c r="B9644" s="6" t="s">
        <v>9593</v>
      </c>
    </row>
    <row r="9645" spans="1:2" x14ac:dyDescent="0.3">
      <c r="A9645" s="7" t="str">
        <f>HYPERLINK("http://www.eatonpowersource.com/products/configure/industrial%20valves/details/02-353049","02-353049")</f>
        <v>02-353049</v>
      </c>
      <c r="B9645" s="8" t="s">
        <v>9594</v>
      </c>
    </row>
    <row r="9646" spans="1:2" x14ac:dyDescent="0.3">
      <c r="A9646" s="5" t="str">
        <f>HYPERLINK("http://www.eatonpowersource.com/products/configure/industrial%20valves/details/02-414970","02-414970")</f>
        <v>02-414970</v>
      </c>
      <c r="B9646" s="6" t="s">
        <v>9595</v>
      </c>
    </row>
    <row r="9647" spans="1:2" x14ac:dyDescent="0.3">
      <c r="A9647" s="7" t="str">
        <f>HYPERLINK("http://www.eatonpowersource.com/products/configure/industrial%20valves/details/02-414971","02-414971")</f>
        <v>02-414971</v>
      </c>
      <c r="B9647" s="8" t="s">
        <v>9596</v>
      </c>
    </row>
    <row r="9648" spans="1:2" x14ac:dyDescent="0.3">
      <c r="A9648" s="5" t="str">
        <f>HYPERLINK("http://www.eatonpowersource.com/products/configure/industrial%20valves/details/02-414972","02-414972")</f>
        <v>02-414972</v>
      </c>
      <c r="B9648" s="6" t="s">
        <v>9597</v>
      </c>
    </row>
    <row r="9649" spans="1:2" x14ac:dyDescent="0.3">
      <c r="A9649" s="7" t="str">
        <f>HYPERLINK("http://www.eatonpowersource.com/products/configure/industrial%20valves/details/02-414973","02-414973")</f>
        <v>02-414973</v>
      </c>
      <c r="B9649" s="8" t="s">
        <v>9598</v>
      </c>
    </row>
    <row r="9650" spans="1:2" x14ac:dyDescent="0.3">
      <c r="A9650" s="5" t="str">
        <f>HYPERLINK("http://www.eatonpowersource.com/products/configure/industrial%20valves/details/6041272-001","6041272-001")</f>
        <v>6041272-001</v>
      </c>
      <c r="B9650" s="6" t="s">
        <v>9599</v>
      </c>
    </row>
    <row r="9651" spans="1:2" x14ac:dyDescent="0.3">
      <c r="A9651" s="7" t="str">
        <f>HYPERLINK("http://www.eatonpowersource.com/products/configure/industrial%20valves/details/288104","288104")</f>
        <v>288104</v>
      </c>
      <c r="B9651" s="8" t="s">
        <v>9600</v>
      </c>
    </row>
    <row r="9652" spans="1:2" x14ac:dyDescent="0.3">
      <c r="A9652" s="5" t="str">
        <f>HYPERLINK("http://www.eatonpowersource.com/products/configure/industrial%20valves/details/293521-c","293521-C")</f>
        <v>293521-C</v>
      </c>
      <c r="B9652" s="6" t="s">
        <v>9601</v>
      </c>
    </row>
    <row r="9653" spans="1:2" x14ac:dyDescent="0.3">
      <c r="A9653" s="7" t="str">
        <f>HYPERLINK("http://www.eatonpowersource.com/products/configure/industrial%20valves/details/295966-a","295966-A")</f>
        <v>295966-A</v>
      </c>
      <c r="B9653" s="8" t="s">
        <v>9602</v>
      </c>
    </row>
    <row r="9654" spans="1:2" x14ac:dyDescent="0.3">
      <c r="A9654" s="5" t="str">
        <f>HYPERLINK("http://www.eatonpowersource.com/products/configure/industrial%20valves/details/342609","342609")</f>
        <v>342609</v>
      </c>
      <c r="B9654" s="6" t="s">
        <v>9603</v>
      </c>
    </row>
    <row r="9655" spans="1:2" x14ac:dyDescent="0.3">
      <c r="A9655" s="7" t="str">
        <f>HYPERLINK("http://www.eatonpowersource.com/products/configure/industrial%20valves/details/868983","868983")</f>
        <v>868983</v>
      </c>
      <c r="B9655" s="8" t="s">
        <v>9604</v>
      </c>
    </row>
    <row r="9656" spans="1:2" x14ac:dyDescent="0.3">
      <c r="A9656" s="5" t="str">
        <f>HYPERLINK("http://www.eatonpowersource.com/products/configure/pumps/details/6043184-001","6043184-001")</f>
        <v>6043184-001</v>
      </c>
      <c r="B9656" s="6" t="s">
        <v>9605</v>
      </c>
    </row>
    <row r="9657" spans="1:2" x14ac:dyDescent="0.3">
      <c r="A9657" s="7" t="str">
        <f>HYPERLINK("http://www.eatonpowersource.com/products/configure/pumps/details/6043185-001","6043185-001")</f>
        <v>6043185-001</v>
      </c>
      <c r="B9657" s="8" t="s">
        <v>9606</v>
      </c>
    </row>
    <row r="9658" spans="1:2" x14ac:dyDescent="0.3">
      <c r="A9658" s="5" t="str">
        <f>HYPERLINK("http://www.eatonpowersource.com/products/configure/pumps/details/6043186-001","6043186-001")</f>
        <v>6043186-001</v>
      </c>
      <c r="B9658" s="6" t="s">
        <v>9607</v>
      </c>
    </row>
    <row r="9659" spans="1:2" x14ac:dyDescent="0.3">
      <c r="A9659" s="7" t="str">
        <f>HYPERLINK("http://www.eatonpowersource.com/products/configure/pumps/details/6043187-001","6043187-001")</f>
        <v>6043187-001</v>
      </c>
      <c r="B9659" s="8" t="s">
        <v>9608</v>
      </c>
    </row>
    <row r="9660" spans="1:2" x14ac:dyDescent="0.3">
      <c r="A9660" s="5" t="str">
        <f>HYPERLINK("http://www.eatonpowersource.com/products/configure/pumps/details/6043188-001","6043188-001")</f>
        <v>6043188-001</v>
      </c>
      <c r="B9660" s="6" t="s">
        <v>9609</v>
      </c>
    </row>
    <row r="9661" spans="1:2" x14ac:dyDescent="0.3">
      <c r="A9661" s="7" t="str">
        <f>HYPERLINK("http://www.eatonpowersource.com/products/configure/pumps/details/6043189-001","6043189-001")</f>
        <v>6043189-001</v>
      </c>
      <c r="B9661" s="8" t="s">
        <v>9610</v>
      </c>
    </row>
    <row r="9662" spans="1:2" x14ac:dyDescent="0.3">
      <c r="A9662" s="5" t="str">
        <f>HYPERLINK("http://www.eatonpowersource.com/products/configure/pumps/details/6043190-001","6043190-001")</f>
        <v>6043190-001</v>
      </c>
      <c r="B9662" s="6" t="s">
        <v>9611</v>
      </c>
    </row>
    <row r="9663" spans="1:2" x14ac:dyDescent="0.3">
      <c r="A9663" s="7" t="str">
        <f>HYPERLINK("http://www.eatonpowersource.com/products/configure/pumps/details/6043191-001","6043191-001")</f>
        <v>6043191-001</v>
      </c>
      <c r="B9663" s="8" t="s">
        <v>9612</v>
      </c>
    </row>
    <row r="9664" spans="1:2" x14ac:dyDescent="0.3">
      <c r="A9664" s="5" t="str">
        <f>HYPERLINK("http://www.eatonpowersource.com/products/configure/pumps/details/6043192-001","6043192-001")</f>
        <v>6043192-001</v>
      </c>
      <c r="B9664" s="6" t="s">
        <v>9613</v>
      </c>
    </row>
    <row r="9665" spans="1:2" x14ac:dyDescent="0.3">
      <c r="A9665" s="7" t="str">
        <f>HYPERLINK("http://www.eatonpowersource.com/products/configure/pumps/details/6043193-001","6043193-001")</f>
        <v>6043193-001</v>
      </c>
      <c r="B9665" s="8" t="s">
        <v>9614</v>
      </c>
    </row>
    <row r="9666" spans="1:2" x14ac:dyDescent="0.3">
      <c r="A9666" s="5" t="str">
        <f>HYPERLINK("http://www.eatonpowersource.com/products/configure/pumps/details/6043194-001","6043194-001")</f>
        <v>6043194-001</v>
      </c>
      <c r="B9666" s="6" t="s">
        <v>9615</v>
      </c>
    </row>
    <row r="9667" spans="1:2" x14ac:dyDescent="0.3">
      <c r="A9667" s="7" t="str">
        <f>HYPERLINK("http://www.eatonpowersource.com/products/configure/pumps/details/6043195-001","6043195-001")</f>
        <v>6043195-001</v>
      </c>
      <c r="B9667" s="8" t="s">
        <v>9616</v>
      </c>
    </row>
    <row r="9668" spans="1:2" x14ac:dyDescent="0.3">
      <c r="A9668" s="5" t="str">
        <f>HYPERLINK("http://www.eatonpowersource.com/products/configure/pumps/details/6043196-001","6043196-001")</f>
        <v>6043196-001</v>
      </c>
      <c r="B9668" s="6" t="s">
        <v>9617</v>
      </c>
    </row>
    <row r="9669" spans="1:2" x14ac:dyDescent="0.3">
      <c r="A9669" s="7" t="str">
        <f>HYPERLINK("http://www.eatonpowersource.com/products/configure/pumps/details/6043197-001","6043197-001")</f>
        <v>6043197-001</v>
      </c>
      <c r="B9669" s="8" t="s">
        <v>9618</v>
      </c>
    </row>
    <row r="9670" spans="1:2" x14ac:dyDescent="0.3">
      <c r="A9670" s="5" t="str">
        <f>HYPERLINK("http://www.eatonpowersource.com/products/configure/pumps/details/6043198-001","6043198-001")</f>
        <v>6043198-001</v>
      </c>
      <c r="B9670" s="6" t="s">
        <v>9619</v>
      </c>
    </row>
    <row r="9671" spans="1:2" x14ac:dyDescent="0.3">
      <c r="A9671" s="7" t="str">
        <f>HYPERLINK("http://www.eatonpowersource.com/products/configure/pumps/details/6044009-001","6044009-001")</f>
        <v>6044009-001</v>
      </c>
      <c r="B9671" s="8" t="s">
        <v>9620</v>
      </c>
    </row>
    <row r="9672" spans="1:2" x14ac:dyDescent="0.3">
      <c r="A9672" s="5" t="str">
        <f>HYPERLINK("http://www.eatonpowersource.com/products/configure/pumps/details/6044233-001","6044233-001")</f>
        <v>6044233-001</v>
      </c>
      <c r="B9672" s="6" t="s">
        <v>9621</v>
      </c>
    </row>
    <row r="9673" spans="1:2" x14ac:dyDescent="0.3">
      <c r="A9673" s="7" t="str">
        <f>HYPERLINK("http://www.eatonpowersource.com/products/configure/pumps/details/6044234-001","6044234-001")</f>
        <v>6044234-001</v>
      </c>
      <c r="B9673" s="8" t="s">
        <v>9622</v>
      </c>
    </row>
    <row r="9674" spans="1:2" x14ac:dyDescent="0.3">
      <c r="A9674" s="5" t="str">
        <f>HYPERLINK("http://www.eatonpowersource.com/products/configure/pumps/details/6044235-001","6044235-001")</f>
        <v>6044235-001</v>
      </c>
      <c r="B9674" s="6" t="s">
        <v>9623</v>
      </c>
    </row>
    <row r="9675" spans="1:2" x14ac:dyDescent="0.3">
      <c r="A9675" s="7" t="str">
        <f>HYPERLINK("http://www.eatonpowersource.com/products/configure/pumps/details/6044236-001","6044236-001")</f>
        <v>6044236-001</v>
      </c>
      <c r="B9675" s="8" t="s">
        <v>9624</v>
      </c>
    </row>
    <row r="9676" spans="1:2" x14ac:dyDescent="0.3">
      <c r="A9676" s="5" t="str">
        <f>HYPERLINK("http://www.eatonpowersource.com/products/configure/pumps/details/6044237-001","6044237-001")</f>
        <v>6044237-001</v>
      </c>
      <c r="B9676" s="6" t="s">
        <v>9625</v>
      </c>
    </row>
    <row r="9677" spans="1:2" x14ac:dyDescent="0.3">
      <c r="A9677" s="7" t="str">
        <f>HYPERLINK("http://www.eatonpowersource.com/products/configure/pumps/details/6044238-001","6044238-001")</f>
        <v>6044238-001</v>
      </c>
      <c r="B9677" s="8" t="s">
        <v>9626</v>
      </c>
    </row>
    <row r="9678" spans="1:2" x14ac:dyDescent="0.3">
      <c r="A9678" s="5" t="str">
        <f>HYPERLINK("http://www.eatonpowersource.com/products/configure/pumps/details/6044239-001","6044239-001")</f>
        <v>6044239-001</v>
      </c>
      <c r="B9678" s="6" t="s">
        <v>9627</v>
      </c>
    </row>
    <row r="9679" spans="1:2" x14ac:dyDescent="0.3">
      <c r="A9679" s="7" t="str">
        <f>HYPERLINK("http://www.eatonpowersource.com/products/configure/industrial%20valves/details/02-139477","02-139477")</f>
        <v>02-139477</v>
      </c>
      <c r="B9679" s="8" t="s">
        <v>9628</v>
      </c>
    </row>
    <row r="9680" spans="1:2" x14ac:dyDescent="0.3">
      <c r="A9680" s="5" t="str">
        <f>HYPERLINK("http://www.eatonpowersource.com/products/configure/industrial%20valves/details/02-139478","02-139478")</f>
        <v>02-139478</v>
      </c>
      <c r="B9680" s="6" t="s">
        <v>9629</v>
      </c>
    </row>
    <row r="9681" spans="1:2" x14ac:dyDescent="0.3">
      <c r="A9681" s="7" t="str">
        <f>HYPERLINK("http://www.eatonpowersource.com/products/configure/industrial%20valves/details/02-139479","02-139479")</f>
        <v>02-139479</v>
      </c>
      <c r="B9681" s="8" t="s">
        <v>9630</v>
      </c>
    </row>
    <row r="9682" spans="1:2" x14ac:dyDescent="0.3">
      <c r="A9682" s="5" t="str">
        <f>HYPERLINK("http://www.eatonpowersource.com/products/configure/industrial%20valves/details/02-139480","02-139480")</f>
        <v>02-139480</v>
      </c>
      <c r="B9682" s="6" t="s">
        <v>9631</v>
      </c>
    </row>
    <row r="9683" spans="1:2" x14ac:dyDescent="0.3">
      <c r="A9683" s="7" t="str">
        <f>HYPERLINK("http://www.eatonpowersource.com/products/configure/industrial%20valves/details/02-139481","02-139481")</f>
        <v>02-139481</v>
      </c>
      <c r="B9683" s="8" t="s">
        <v>9632</v>
      </c>
    </row>
    <row r="9684" spans="1:2" x14ac:dyDescent="0.3">
      <c r="A9684" s="5" t="str">
        <f>HYPERLINK("http://www.eatonpowersource.com/products/configure/industrial%20valves/details/02-139482","02-139482")</f>
        <v>02-139482</v>
      </c>
      <c r="B9684" s="6" t="s">
        <v>9633</v>
      </c>
    </row>
    <row r="9685" spans="1:2" x14ac:dyDescent="0.3">
      <c r="A9685" s="7" t="str">
        <f>HYPERLINK("http://www.eatonpowersource.com/products/configure/industrial%20valves/details/02-139486","02-139486")</f>
        <v>02-139486</v>
      </c>
      <c r="B9685" s="8" t="s">
        <v>9634</v>
      </c>
    </row>
    <row r="9686" spans="1:2" x14ac:dyDescent="0.3">
      <c r="A9686" s="5" t="str">
        <f>HYPERLINK("http://www.eatonpowersource.com/products/configure/industrial%20valves/details/02-139487","02-139487")</f>
        <v>02-139487</v>
      </c>
      <c r="B9686" s="6" t="s">
        <v>9635</v>
      </c>
    </row>
    <row r="9687" spans="1:2" x14ac:dyDescent="0.3">
      <c r="A9687" s="7" t="str">
        <f>HYPERLINK("http://www.eatonpowersource.com/products/configure/industrial%20valves/details/02-139488","02-139488")</f>
        <v>02-139488</v>
      </c>
      <c r="B9687" s="8" t="s">
        <v>9636</v>
      </c>
    </row>
    <row r="9688" spans="1:2" x14ac:dyDescent="0.3">
      <c r="A9688" s="5" t="str">
        <f>HYPERLINK("http://www.eatonpowersource.com/products/configure/industrial%20valves/details/02-139489","02-139489")</f>
        <v>02-139489</v>
      </c>
      <c r="B9688" s="6" t="s">
        <v>9637</v>
      </c>
    </row>
    <row r="9689" spans="1:2" x14ac:dyDescent="0.3">
      <c r="A9689" s="7" t="str">
        <f>HYPERLINK("http://www.eatonpowersource.com/products/configure/industrial%20valves/details/02-139490","02-139490")</f>
        <v>02-139490</v>
      </c>
      <c r="B9689" s="8" t="s">
        <v>9638</v>
      </c>
    </row>
    <row r="9690" spans="1:2" x14ac:dyDescent="0.3">
      <c r="A9690" s="5" t="str">
        <f>HYPERLINK("http://www.eatonpowersource.com/products/configure/industrial%20valves/details/02-139491","02-139491")</f>
        <v>02-139491</v>
      </c>
      <c r="B9690" s="6" t="s">
        <v>9639</v>
      </c>
    </row>
    <row r="9691" spans="1:2" x14ac:dyDescent="0.3">
      <c r="A9691" s="7" t="str">
        <f>HYPERLINK("http://www.eatonpowersource.com/products/configure/industrial%20valves/details/02-139500","02-139500")</f>
        <v>02-139500</v>
      </c>
      <c r="B9691" s="8" t="s">
        <v>9640</v>
      </c>
    </row>
    <row r="9692" spans="1:2" x14ac:dyDescent="0.3">
      <c r="A9692" s="5" t="str">
        <f>HYPERLINK("http://www.eatonpowersource.com/products/configure/industrial%20valves/details/02-139505","02-139505")</f>
        <v>02-139505</v>
      </c>
      <c r="B9692" s="6" t="s">
        <v>9641</v>
      </c>
    </row>
    <row r="9693" spans="1:2" x14ac:dyDescent="0.3">
      <c r="A9693" s="7" t="str">
        <f>HYPERLINK("http://www.eatonpowersource.com/products/configure/industrial%20valves/details/02-139506","02-139506")</f>
        <v>02-139506</v>
      </c>
      <c r="B9693" s="8" t="s">
        <v>9642</v>
      </c>
    </row>
    <row r="9694" spans="1:2" x14ac:dyDescent="0.3">
      <c r="A9694" s="5" t="str">
        <f>HYPERLINK("http://www.eatonpowersource.com/products/configure/industrial%20valves/details/02-139508","02-139508")</f>
        <v>02-139508</v>
      </c>
      <c r="B9694" s="6" t="s">
        <v>9643</v>
      </c>
    </row>
    <row r="9695" spans="1:2" x14ac:dyDescent="0.3">
      <c r="A9695" s="7" t="str">
        <f>HYPERLINK("http://www.eatonpowersource.com/products/details/001116","001116")</f>
        <v>001116</v>
      </c>
      <c r="B9695" s="8" t="s">
        <v>9644</v>
      </c>
    </row>
    <row r="9696" spans="1:2" x14ac:dyDescent="0.3">
      <c r="A9696" s="5" t="str">
        <f>HYPERLINK("http://www.eatonpowersource.com/products/details/001277","001277")</f>
        <v>001277</v>
      </c>
      <c r="B9696" s="6" t="s">
        <v>9645</v>
      </c>
    </row>
    <row r="9697" spans="1:2" x14ac:dyDescent="0.3">
      <c r="A9697" s="7" t="str">
        <f>HYPERLINK("http://www.eatonpowersource.com/products/details/001278","001278")</f>
        <v>001278</v>
      </c>
      <c r="B9697" s="8" t="s">
        <v>9645</v>
      </c>
    </row>
    <row r="9698" spans="1:2" x14ac:dyDescent="0.3">
      <c r="A9698" s="5" t="str">
        <f>HYPERLINK("http://www.eatonpowersource.com/products/details/001450","001450")</f>
        <v>001450</v>
      </c>
      <c r="B9698" s="6" t="s">
        <v>9646</v>
      </c>
    </row>
    <row r="9699" spans="1:2" x14ac:dyDescent="0.3">
      <c r="A9699" s="7" t="str">
        <f>HYPERLINK("http://www.eatonpowersource.com/products/details/001480","001480")</f>
        <v>001480</v>
      </c>
      <c r="B9699" s="8" t="s">
        <v>9646</v>
      </c>
    </row>
    <row r="9700" spans="1:2" x14ac:dyDescent="0.3">
      <c r="A9700" s="5" t="str">
        <f>HYPERLINK("http://www.eatonpowersource.com/products/details/001485","001485")</f>
        <v>001485</v>
      </c>
      <c r="B9700" s="6" t="s">
        <v>9647</v>
      </c>
    </row>
    <row r="9701" spans="1:2" x14ac:dyDescent="0.3">
      <c r="A9701" s="7" t="str">
        <f>HYPERLINK("http://www.eatonpowersource.com/products/details/001606","001606")</f>
        <v>001606</v>
      </c>
      <c r="B9701" s="8" t="s">
        <v>9648</v>
      </c>
    </row>
    <row r="9702" spans="1:2" x14ac:dyDescent="0.3">
      <c r="A9702" s="5" t="str">
        <f>HYPERLINK("http://www.eatonpowersource.com/products/details/001703","001703")</f>
        <v>001703</v>
      </c>
      <c r="B9702" s="6" t="s">
        <v>9649</v>
      </c>
    </row>
    <row r="9703" spans="1:2" x14ac:dyDescent="0.3">
      <c r="A9703" s="7" t="str">
        <f>HYPERLINK("http://www.eatonpowersource.com/products/details/001704","001704")</f>
        <v>001704</v>
      </c>
      <c r="B9703" s="8" t="s">
        <v>9650</v>
      </c>
    </row>
    <row r="9704" spans="1:2" x14ac:dyDescent="0.3">
      <c r="A9704" s="5" t="str">
        <f>HYPERLINK("http://www.eatonpowersource.com/products/details/001705","001705")</f>
        <v>001705</v>
      </c>
      <c r="B9704" s="6" t="s">
        <v>9650</v>
      </c>
    </row>
    <row r="9705" spans="1:2" x14ac:dyDescent="0.3">
      <c r="A9705" s="7" t="str">
        <f>HYPERLINK("http://www.eatonpowersource.com/products/details/001738","001738")</f>
        <v>001738</v>
      </c>
      <c r="B9705" s="8" t="s">
        <v>9651</v>
      </c>
    </row>
    <row r="9706" spans="1:2" x14ac:dyDescent="0.3">
      <c r="A9706" s="5" t="str">
        <f>HYPERLINK("http://www.eatonpowersource.com/products/details/002077","002077")</f>
        <v>002077</v>
      </c>
      <c r="B9706" s="6" t="s">
        <v>9652</v>
      </c>
    </row>
    <row r="9707" spans="1:2" x14ac:dyDescent="0.3">
      <c r="A9707" s="7" t="str">
        <f>HYPERLINK("http://www.eatonpowersource.com/products/details/002090","002090")</f>
        <v>002090</v>
      </c>
      <c r="B9707" s="8" t="s">
        <v>9653</v>
      </c>
    </row>
    <row r="9708" spans="1:2" x14ac:dyDescent="0.3">
      <c r="A9708" s="5" t="str">
        <f>HYPERLINK("http://www.eatonpowersource.com/products/details/002280","002280")</f>
        <v>002280</v>
      </c>
      <c r="B9708" s="6" t="s">
        <v>9653</v>
      </c>
    </row>
    <row r="9709" spans="1:2" x14ac:dyDescent="0.3">
      <c r="A9709" s="7" t="str">
        <f>HYPERLINK("http://www.eatonpowersource.com/products/details/002281","002281")</f>
        <v>002281</v>
      </c>
      <c r="B9709" s="8" t="s">
        <v>9653</v>
      </c>
    </row>
    <row r="9710" spans="1:2" x14ac:dyDescent="0.3">
      <c r="A9710" s="5" t="str">
        <f>HYPERLINK("http://www.eatonpowersource.com/products/details/002282","002282")</f>
        <v>002282</v>
      </c>
      <c r="B9710" s="6" t="s">
        <v>9654</v>
      </c>
    </row>
    <row r="9711" spans="1:2" x14ac:dyDescent="0.3">
      <c r="A9711" s="7" t="str">
        <f>HYPERLINK("http://www.eatonpowersource.com/products/details/002284","002284")</f>
        <v>002284</v>
      </c>
      <c r="B9711" s="8" t="s">
        <v>9653</v>
      </c>
    </row>
    <row r="9712" spans="1:2" x14ac:dyDescent="0.3">
      <c r="A9712" s="5" t="str">
        <f>HYPERLINK("http://www.eatonpowersource.com/products/details/002287","002287")</f>
        <v>002287</v>
      </c>
      <c r="B9712" s="6" t="s">
        <v>9653</v>
      </c>
    </row>
    <row r="9713" spans="1:2" x14ac:dyDescent="0.3">
      <c r="A9713" s="7" t="str">
        <f>HYPERLINK("http://www.eatonpowersource.com/products/details/002714","002714")</f>
        <v>002714</v>
      </c>
      <c r="B9713" s="8" t="s">
        <v>9655</v>
      </c>
    </row>
    <row r="9714" spans="1:2" x14ac:dyDescent="0.3">
      <c r="A9714" s="5" t="str">
        <f>HYPERLINK("http://www.eatonpowersource.com/products/details/002943","002943")</f>
        <v>002943</v>
      </c>
      <c r="B9714" s="6" t="s">
        <v>9653</v>
      </c>
    </row>
    <row r="9715" spans="1:2" x14ac:dyDescent="0.3">
      <c r="A9715" s="7" t="str">
        <f>HYPERLINK("http://www.eatonpowersource.com/products/details/002990","002990")</f>
        <v>002990</v>
      </c>
      <c r="B9715" s="8" t="s">
        <v>9653</v>
      </c>
    </row>
    <row r="9716" spans="1:2" x14ac:dyDescent="0.3">
      <c r="A9716" s="5" t="str">
        <f>HYPERLINK("http://www.eatonpowersource.com/products/details/003418","003418")</f>
        <v>003418</v>
      </c>
      <c r="B9716" s="6" t="s">
        <v>9656</v>
      </c>
    </row>
    <row r="9717" spans="1:2" x14ac:dyDescent="0.3">
      <c r="A9717" s="7" t="str">
        <f>HYPERLINK("http://www.eatonpowersource.com/products/details/005402","005402")</f>
        <v>005402</v>
      </c>
      <c r="B9717" s="8" t="s">
        <v>9657</v>
      </c>
    </row>
    <row r="9718" spans="1:2" x14ac:dyDescent="0.3">
      <c r="A9718" s="5" t="str">
        <f>HYPERLINK("http://www.eatonpowersource.com/products/details/005881","005881")</f>
        <v>005881</v>
      </c>
      <c r="B9718" s="6" t="s">
        <v>9656</v>
      </c>
    </row>
    <row r="9719" spans="1:2" x14ac:dyDescent="0.3">
      <c r="A9719" s="7" t="str">
        <f>HYPERLINK("http://www.eatonpowersource.com/products/details/007074","007074")</f>
        <v>007074</v>
      </c>
      <c r="B9719" s="8" t="s">
        <v>9658</v>
      </c>
    </row>
    <row r="9720" spans="1:2" x14ac:dyDescent="0.3">
      <c r="A9720" s="5" t="str">
        <f>HYPERLINK("http://www.eatonpowersource.com/products/details/007076","007076")</f>
        <v>007076</v>
      </c>
      <c r="B9720" s="6" t="s">
        <v>9659</v>
      </c>
    </row>
    <row r="9721" spans="1:2" x14ac:dyDescent="0.3">
      <c r="A9721" s="7" t="str">
        <f>HYPERLINK("http://www.eatonpowersource.com/products/details/008618","008618")</f>
        <v>008618</v>
      </c>
      <c r="B9721" s="8" t="s">
        <v>9660</v>
      </c>
    </row>
    <row r="9722" spans="1:2" x14ac:dyDescent="0.3">
      <c r="A9722" s="5" t="str">
        <f>HYPERLINK("http://www.eatonpowersource.com/products/details/009567","009567")</f>
        <v>009567</v>
      </c>
      <c r="B9722" s="6" t="s">
        <v>9644</v>
      </c>
    </row>
    <row r="9723" spans="1:2" x14ac:dyDescent="0.3">
      <c r="A9723" s="7" t="str">
        <f>HYPERLINK("http://www.eatonpowersource.com/products/details/009955","009955")</f>
        <v>009955</v>
      </c>
      <c r="B9723" s="8" t="s">
        <v>9656</v>
      </c>
    </row>
    <row r="9724" spans="1:2" x14ac:dyDescent="0.3">
      <c r="A9724" s="5" t="str">
        <f>HYPERLINK("http://www.eatonpowersource.com/products/details/010358","010358")</f>
        <v>010358</v>
      </c>
      <c r="B9724" s="6" t="s">
        <v>9661</v>
      </c>
    </row>
    <row r="9725" spans="1:2" x14ac:dyDescent="0.3">
      <c r="A9725" s="7" t="str">
        <f>HYPERLINK("http://www.eatonpowersource.com/products/details/011156","011156")</f>
        <v>011156</v>
      </c>
      <c r="B9725" s="8" t="s">
        <v>9645</v>
      </c>
    </row>
    <row r="9726" spans="1:2" x14ac:dyDescent="0.3">
      <c r="A9726" s="5" t="str">
        <f>HYPERLINK("http://www.eatonpowersource.com/products/details/011163","011163")</f>
        <v>011163</v>
      </c>
      <c r="B9726" s="6" t="s">
        <v>9645</v>
      </c>
    </row>
    <row r="9727" spans="1:2" x14ac:dyDescent="0.3">
      <c r="A9727" s="7" t="str">
        <f>HYPERLINK("http://www.eatonpowersource.com/products/details/011173","011173")</f>
        <v>011173</v>
      </c>
      <c r="B9727" s="8" t="s">
        <v>9645</v>
      </c>
    </row>
    <row r="9728" spans="1:2" x14ac:dyDescent="0.3">
      <c r="A9728" s="5" t="str">
        <f>HYPERLINK("http://www.eatonpowersource.com/products/details/014654","014654")</f>
        <v>014654</v>
      </c>
      <c r="B9728" s="6" t="s">
        <v>9662</v>
      </c>
    </row>
    <row r="9729" spans="1:2" x14ac:dyDescent="0.3">
      <c r="A9729" s="7" t="str">
        <f>HYPERLINK("http://www.eatonpowersource.com/products/details/016058","016058")</f>
        <v>016058</v>
      </c>
      <c r="B9729" s="8" t="s">
        <v>9663</v>
      </c>
    </row>
    <row r="9730" spans="1:2" x14ac:dyDescent="0.3">
      <c r="A9730" s="5" t="str">
        <f>HYPERLINK("http://www.eatonpowersource.com/products/details/016662","016662")</f>
        <v>016662</v>
      </c>
      <c r="B9730" s="6" t="s">
        <v>9664</v>
      </c>
    </row>
    <row r="9731" spans="1:2" x14ac:dyDescent="0.3">
      <c r="A9731" s="7" t="str">
        <f>HYPERLINK("http://www.eatonpowersource.com/products/details/019767","019767")</f>
        <v>019767</v>
      </c>
      <c r="B9731" s="8" t="s">
        <v>9653</v>
      </c>
    </row>
    <row r="9732" spans="1:2" x14ac:dyDescent="0.3">
      <c r="A9732" s="5" t="str">
        <f>HYPERLINK("http://www.eatonpowersource.com/products/details/02-101707","02-101707")</f>
        <v>02-101707</v>
      </c>
      <c r="B9732" s="6" t="s">
        <v>9665</v>
      </c>
    </row>
    <row r="9733" spans="1:2" x14ac:dyDescent="0.3">
      <c r="A9733" s="7" t="str">
        <f>HYPERLINK("http://www.eatonpowersource.com/products/details/02-101722","02-101722")</f>
        <v>02-101722</v>
      </c>
      <c r="B9733" s="8" t="s">
        <v>9665</v>
      </c>
    </row>
    <row r="9734" spans="1:2" x14ac:dyDescent="0.3">
      <c r="A9734" s="5" t="str">
        <f>HYPERLINK("http://www.eatonpowersource.com/products/details/02-101725","02-101725")</f>
        <v>02-101725</v>
      </c>
      <c r="B9734" s="6" t="s">
        <v>9666</v>
      </c>
    </row>
    <row r="9735" spans="1:2" x14ac:dyDescent="0.3">
      <c r="A9735" s="7" t="str">
        <f>HYPERLINK("http://www.eatonpowersource.com/products/details/02-101726","02-101726")</f>
        <v>02-101726</v>
      </c>
      <c r="B9735" s="8" t="s">
        <v>9667</v>
      </c>
    </row>
    <row r="9736" spans="1:2" x14ac:dyDescent="0.3">
      <c r="A9736" s="5" t="str">
        <f>HYPERLINK("http://www.eatonpowersource.com/products/details/02-101727","02-101727")</f>
        <v>02-101727</v>
      </c>
      <c r="B9736" s="6" t="s">
        <v>9668</v>
      </c>
    </row>
    <row r="9737" spans="1:2" x14ac:dyDescent="0.3">
      <c r="A9737" s="7" t="str">
        <f>HYPERLINK("http://www.eatonpowersource.com/products/details/02-101728","02-101728")</f>
        <v>02-101728</v>
      </c>
      <c r="B9737" s="8" t="s">
        <v>9669</v>
      </c>
    </row>
    <row r="9738" spans="1:2" x14ac:dyDescent="0.3">
      <c r="A9738" s="5" t="str">
        <f>HYPERLINK("http://www.eatonpowersource.com/products/details/02-101731","02-101731")</f>
        <v>02-101731</v>
      </c>
      <c r="B9738" s="6" t="s">
        <v>9670</v>
      </c>
    </row>
    <row r="9739" spans="1:2" x14ac:dyDescent="0.3">
      <c r="A9739" s="7" t="str">
        <f>HYPERLINK("http://www.eatonpowersource.com/products/details/02-101733","02-101733")</f>
        <v>02-101733</v>
      </c>
      <c r="B9739" s="8" t="s">
        <v>9671</v>
      </c>
    </row>
    <row r="9740" spans="1:2" x14ac:dyDescent="0.3">
      <c r="A9740" s="5" t="str">
        <f>HYPERLINK("http://www.eatonpowersource.com/products/details/02-102244","02-102244")</f>
        <v>02-102244</v>
      </c>
      <c r="B9740" s="6" t="s">
        <v>9672</v>
      </c>
    </row>
    <row r="9741" spans="1:2" x14ac:dyDescent="0.3">
      <c r="A9741" s="7" t="str">
        <f>HYPERLINK("http://www.eatonpowersource.com/products/details/02-102262","02-102262")</f>
        <v>02-102262</v>
      </c>
      <c r="B9741" s="8" t="s">
        <v>9673</v>
      </c>
    </row>
    <row r="9742" spans="1:2" x14ac:dyDescent="0.3">
      <c r="A9742" s="5" t="str">
        <f>HYPERLINK("http://www.eatonpowersource.com/products/details/02-102264","02-102264")</f>
        <v>02-102264</v>
      </c>
      <c r="B9742" s="6" t="s">
        <v>9674</v>
      </c>
    </row>
    <row r="9743" spans="1:2" x14ac:dyDescent="0.3">
      <c r="A9743" s="7" t="str">
        <f>HYPERLINK("http://www.eatonpowersource.com/products/details/02-102266","02-102266")</f>
        <v>02-102266</v>
      </c>
      <c r="B9743" s="8" t="s">
        <v>9675</v>
      </c>
    </row>
    <row r="9744" spans="1:2" x14ac:dyDescent="0.3">
      <c r="A9744" s="5" t="str">
        <f>HYPERLINK("http://www.eatonpowersource.com/products/details/02-110959","02-110959")</f>
        <v>02-110959</v>
      </c>
      <c r="B9744" s="6" t="s">
        <v>9676</v>
      </c>
    </row>
    <row r="9745" spans="1:2" x14ac:dyDescent="0.3">
      <c r="A9745" s="7" t="str">
        <f>HYPERLINK("http://www.eatonpowersource.com/products/details/02-111180","02-111180")</f>
        <v>02-111180</v>
      </c>
      <c r="B9745" s="8" t="s">
        <v>9677</v>
      </c>
    </row>
    <row r="9746" spans="1:2" x14ac:dyDescent="0.3">
      <c r="A9746" s="5" t="str">
        <f>HYPERLINK("http://www.eatonpowersource.com/products/details/02-111190","02-111190")</f>
        <v>02-111190</v>
      </c>
      <c r="B9746" s="6" t="s">
        <v>9678</v>
      </c>
    </row>
    <row r="9747" spans="1:2" x14ac:dyDescent="0.3">
      <c r="A9747" s="7" t="str">
        <f>HYPERLINK("http://www.eatonpowersource.com/products/details/02-111255","02-111255")</f>
        <v>02-111255</v>
      </c>
      <c r="B9747" s="8" t="s">
        <v>9679</v>
      </c>
    </row>
    <row r="9748" spans="1:2" x14ac:dyDescent="0.3">
      <c r="A9748" s="5" t="str">
        <f>HYPERLINK("http://www.eatonpowersource.com/products/details/02-111256","02-111256")</f>
        <v>02-111256</v>
      </c>
      <c r="B9748" s="6" t="s">
        <v>9680</v>
      </c>
    </row>
    <row r="9749" spans="1:2" x14ac:dyDescent="0.3">
      <c r="A9749" s="7" t="str">
        <f>HYPERLINK("http://www.eatonpowersource.com/products/details/02-111541","02-111541")</f>
        <v>02-111541</v>
      </c>
      <c r="B9749" s="8" t="s">
        <v>9681</v>
      </c>
    </row>
    <row r="9750" spans="1:2" x14ac:dyDescent="0.3">
      <c r="A9750" s="5" t="str">
        <f>HYPERLINK("http://www.eatonpowersource.com/products/details/02-111543","02-111543")</f>
        <v>02-111543</v>
      </c>
      <c r="B9750" s="6" t="s">
        <v>9682</v>
      </c>
    </row>
    <row r="9751" spans="1:2" x14ac:dyDescent="0.3">
      <c r="A9751" s="7" t="str">
        <f>HYPERLINK("http://www.eatonpowersource.com/products/details/02-111544","02-111544")</f>
        <v>02-111544</v>
      </c>
      <c r="B9751" s="8" t="s">
        <v>9683</v>
      </c>
    </row>
    <row r="9752" spans="1:2" x14ac:dyDescent="0.3">
      <c r="A9752" s="5" t="str">
        <f>HYPERLINK("http://www.eatonpowersource.com/products/details/02-111631","02-111631")</f>
        <v>02-111631</v>
      </c>
      <c r="B9752" s="6" t="s">
        <v>9684</v>
      </c>
    </row>
    <row r="9753" spans="1:2" x14ac:dyDescent="0.3">
      <c r="A9753" s="7" t="str">
        <f>HYPERLINK("http://www.eatonpowersource.com/products/details/02-111911","02-111911")</f>
        <v>02-111911</v>
      </c>
      <c r="B9753" s="8" t="s">
        <v>9685</v>
      </c>
    </row>
    <row r="9754" spans="1:2" x14ac:dyDescent="0.3">
      <c r="A9754" s="5" t="str">
        <f>HYPERLINK("http://www.eatonpowersource.com/products/details/02-111934","02-111934")</f>
        <v>02-111934</v>
      </c>
      <c r="B9754" s="6" t="s">
        <v>9686</v>
      </c>
    </row>
    <row r="9755" spans="1:2" x14ac:dyDescent="0.3">
      <c r="A9755" s="7" t="str">
        <f>HYPERLINK("http://www.eatonpowersource.com/products/details/02-123609","02-123609")</f>
        <v>02-123609</v>
      </c>
      <c r="B9755" s="8" t="s">
        <v>9687</v>
      </c>
    </row>
    <row r="9756" spans="1:2" x14ac:dyDescent="0.3">
      <c r="A9756" s="5" t="str">
        <f>HYPERLINK("http://www.eatonpowersource.com/products/details/02-123938","02-123938")</f>
        <v>02-123938</v>
      </c>
      <c r="B9756" s="6" t="s">
        <v>9688</v>
      </c>
    </row>
    <row r="9757" spans="1:2" x14ac:dyDescent="0.3">
      <c r="A9757" s="7" t="str">
        <f>HYPERLINK("http://www.eatonpowersource.com/products/details/02-123939","02-123939")</f>
        <v>02-123939</v>
      </c>
      <c r="B9757" s="8" t="s">
        <v>9689</v>
      </c>
    </row>
    <row r="9758" spans="1:2" x14ac:dyDescent="0.3">
      <c r="A9758" s="5" t="str">
        <f>HYPERLINK("http://www.eatonpowersource.com/products/details/02-123941","02-123941")</f>
        <v>02-123941</v>
      </c>
      <c r="B9758" s="6" t="s">
        <v>9690</v>
      </c>
    </row>
    <row r="9759" spans="1:2" x14ac:dyDescent="0.3">
      <c r="A9759" s="7" t="str">
        <f>HYPERLINK("http://www.eatonpowersource.com/products/details/02-123992","02-123992")</f>
        <v>02-123992</v>
      </c>
      <c r="B9759" s="8" t="s">
        <v>9691</v>
      </c>
    </row>
    <row r="9760" spans="1:2" x14ac:dyDescent="0.3">
      <c r="A9760" s="5" t="str">
        <f>HYPERLINK("http://www.eatonpowersource.com/products/details/02-123993","02-123993")</f>
        <v>02-123993</v>
      </c>
      <c r="B9760" s="6" t="s">
        <v>9692</v>
      </c>
    </row>
    <row r="9761" spans="1:2" x14ac:dyDescent="0.3">
      <c r="A9761" s="7" t="str">
        <f>HYPERLINK("http://www.eatonpowersource.com/products/details/02-124030","02-124030")</f>
        <v>02-124030</v>
      </c>
      <c r="B9761" s="8" t="s">
        <v>9693</v>
      </c>
    </row>
    <row r="9762" spans="1:2" x14ac:dyDescent="0.3">
      <c r="A9762" s="5" t="str">
        <f>HYPERLINK("http://www.eatonpowersource.com/products/details/02-124190","02-124190")</f>
        <v>02-124190</v>
      </c>
      <c r="B9762" s="6" t="s">
        <v>9694</v>
      </c>
    </row>
    <row r="9763" spans="1:2" x14ac:dyDescent="0.3">
      <c r="A9763" s="7" t="str">
        <f>HYPERLINK("http://www.eatonpowersource.com/products/details/02-124191","02-124191")</f>
        <v>02-124191</v>
      </c>
      <c r="B9763" s="8" t="s">
        <v>9695</v>
      </c>
    </row>
    <row r="9764" spans="1:2" x14ac:dyDescent="0.3">
      <c r="A9764" s="5" t="str">
        <f>HYPERLINK("http://www.eatonpowersource.com/products/details/02-124193","02-124193")</f>
        <v>02-124193</v>
      </c>
      <c r="B9764" s="6" t="s">
        <v>9696</v>
      </c>
    </row>
    <row r="9765" spans="1:2" x14ac:dyDescent="0.3">
      <c r="A9765" s="7" t="str">
        <f>HYPERLINK("http://www.eatonpowersource.com/products/details/02-124359","02-124359")</f>
        <v>02-124359</v>
      </c>
      <c r="B9765" s="8" t="s">
        <v>9697</v>
      </c>
    </row>
    <row r="9766" spans="1:2" x14ac:dyDescent="0.3">
      <c r="A9766" s="5" t="str">
        <f>HYPERLINK("http://www.eatonpowersource.com/products/details/02-124380","02-124380")</f>
        <v>02-124380</v>
      </c>
      <c r="B9766" s="6" t="s">
        <v>9698</v>
      </c>
    </row>
    <row r="9767" spans="1:2" x14ac:dyDescent="0.3">
      <c r="A9767" s="7" t="str">
        <f>HYPERLINK("http://www.eatonpowersource.com/products/details/02-124430","02-124430")</f>
        <v>02-124430</v>
      </c>
      <c r="B9767" s="8" t="s">
        <v>9699</v>
      </c>
    </row>
    <row r="9768" spans="1:2" x14ac:dyDescent="0.3">
      <c r="A9768" s="5" t="str">
        <f>HYPERLINK("http://www.eatonpowersource.com/products/details/02-124441","02-124441")</f>
        <v>02-124441</v>
      </c>
      <c r="B9768" s="6" t="s">
        <v>9700</v>
      </c>
    </row>
    <row r="9769" spans="1:2" x14ac:dyDescent="0.3">
      <c r="A9769" s="7" t="str">
        <f>HYPERLINK("http://www.eatonpowersource.com/products/details/02-124515","02-124515")</f>
        <v>02-124515</v>
      </c>
      <c r="B9769" s="8" t="s">
        <v>9701</v>
      </c>
    </row>
    <row r="9770" spans="1:2" x14ac:dyDescent="0.3">
      <c r="A9770" s="5" t="str">
        <f>HYPERLINK("http://www.eatonpowersource.com/products/details/02-124586","02-124586")</f>
        <v>02-124586</v>
      </c>
      <c r="B9770" s="6" t="s">
        <v>9702</v>
      </c>
    </row>
    <row r="9771" spans="1:2" x14ac:dyDescent="0.3">
      <c r="A9771" s="7" t="str">
        <f>HYPERLINK("http://www.eatonpowersource.com/products/details/02-124629","02-124629")</f>
        <v>02-124629</v>
      </c>
      <c r="B9771" s="8" t="s">
        <v>9703</v>
      </c>
    </row>
    <row r="9772" spans="1:2" x14ac:dyDescent="0.3">
      <c r="A9772" s="5" t="str">
        <f>HYPERLINK("http://www.eatonpowersource.com/products/details/02-124654","02-124654")</f>
        <v>02-124654</v>
      </c>
      <c r="B9772" s="6" t="s">
        <v>9704</v>
      </c>
    </row>
    <row r="9773" spans="1:2" x14ac:dyDescent="0.3">
      <c r="A9773" s="7" t="str">
        <f>HYPERLINK("http://www.eatonpowersource.com/products/details/02-124661","02-124661")</f>
        <v>02-124661</v>
      </c>
      <c r="B9773" s="8" t="s">
        <v>9705</v>
      </c>
    </row>
    <row r="9774" spans="1:2" x14ac:dyDescent="0.3">
      <c r="A9774" s="5" t="str">
        <f>HYPERLINK("http://www.eatonpowersource.com/products/details/02-124662","02-124662")</f>
        <v>02-124662</v>
      </c>
      <c r="B9774" s="6" t="s">
        <v>9706</v>
      </c>
    </row>
    <row r="9775" spans="1:2" x14ac:dyDescent="0.3">
      <c r="A9775" s="7" t="str">
        <f>HYPERLINK("http://www.eatonpowersource.com/products/details/02-124725","02-124725")</f>
        <v>02-124725</v>
      </c>
      <c r="B9775" s="8" t="s">
        <v>9707</v>
      </c>
    </row>
    <row r="9776" spans="1:2" x14ac:dyDescent="0.3">
      <c r="A9776" s="5" t="str">
        <f>HYPERLINK("http://www.eatonpowersource.com/products/details/02-124912","02-124912")</f>
        <v>02-124912</v>
      </c>
      <c r="B9776" s="6" t="s">
        <v>9708</v>
      </c>
    </row>
    <row r="9777" spans="1:2" x14ac:dyDescent="0.3">
      <c r="A9777" s="7" t="str">
        <f>HYPERLINK("http://www.eatonpowersource.com/products/details/02-124913","02-124913")</f>
        <v>02-124913</v>
      </c>
      <c r="B9777" s="8" t="s">
        <v>9709</v>
      </c>
    </row>
    <row r="9778" spans="1:2" x14ac:dyDescent="0.3">
      <c r="A9778" s="5" t="str">
        <f>HYPERLINK("http://www.eatonpowersource.com/products/details/02-125002","02-125002")</f>
        <v>02-125002</v>
      </c>
      <c r="B9778" s="6" t="s">
        <v>9710</v>
      </c>
    </row>
    <row r="9779" spans="1:2" x14ac:dyDescent="0.3">
      <c r="A9779" s="7" t="str">
        <f>HYPERLINK("http://www.eatonpowersource.com/products/details/02-125024","02-125024")</f>
        <v>02-125024</v>
      </c>
      <c r="B9779" s="8" t="s">
        <v>9711</v>
      </c>
    </row>
    <row r="9780" spans="1:2" x14ac:dyDescent="0.3">
      <c r="A9780" s="5" t="str">
        <f>HYPERLINK("http://www.eatonpowersource.com/products/details/02-125160","02-125160")</f>
        <v>02-125160</v>
      </c>
      <c r="B9780" s="6" t="s">
        <v>9712</v>
      </c>
    </row>
    <row r="9781" spans="1:2" x14ac:dyDescent="0.3">
      <c r="A9781" s="7" t="str">
        <f>HYPERLINK("http://www.eatonpowersource.com/products/details/02-125161","02-125161")</f>
        <v>02-125161</v>
      </c>
      <c r="B9781" s="8" t="s">
        <v>9712</v>
      </c>
    </row>
    <row r="9782" spans="1:2" x14ac:dyDescent="0.3">
      <c r="A9782" s="5" t="str">
        <f>HYPERLINK("http://www.eatonpowersource.com/products/details/02-125162","02-125162")</f>
        <v>02-125162</v>
      </c>
      <c r="B9782" s="6" t="s">
        <v>9713</v>
      </c>
    </row>
    <row r="9783" spans="1:2" x14ac:dyDescent="0.3">
      <c r="A9783" s="7" t="str">
        <f>HYPERLINK("http://www.eatonpowersource.com/products/details/02-134569","02-134569")</f>
        <v>02-134569</v>
      </c>
      <c r="B9783" s="8" t="s">
        <v>9714</v>
      </c>
    </row>
    <row r="9784" spans="1:2" x14ac:dyDescent="0.3">
      <c r="A9784" s="5" t="str">
        <f>HYPERLINK("http://www.eatonpowersource.com/products/details/02-134570","02-134570")</f>
        <v>02-134570</v>
      </c>
      <c r="B9784" s="6" t="s">
        <v>9715</v>
      </c>
    </row>
    <row r="9785" spans="1:2" x14ac:dyDescent="0.3">
      <c r="A9785" s="7" t="str">
        <f>HYPERLINK("http://www.eatonpowersource.com/products/details/02-136782","02-136782")</f>
        <v>02-136782</v>
      </c>
      <c r="B9785" s="8" t="s">
        <v>9716</v>
      </c>
    </row>
    <row r="9786" spans="1:2" x14ac:dyDescent="0.3">
      <c r="A9786" s="5" t="str">
        <f>HYPERLINK("http://www.eatonpowersource.com/products/details/02-136786","02-136786")</f>
        <v>02-136786</v>
      </c>
      <c r="B9786" s="6" t="s">
        <v>9717</v>
      </c>
    </row>
    <row r="9787" spans="1:2" x14ac:dyDescent="0.3">
      <c r="A9787" s="7" t="str">
        <f>HYPERLINK("http://www.eatonpowersource.com/products/details/02-136800","02-136800")</f>
        <v>02-136800</v>
      </c>
      <c r="B9787" s="8" t="s">
        <v>9718</v>
      </c>
    </row>
    <row r="9788" spans="1:2" x14ac:dyDescent="0.3">
      <c r="A9788" s="5" t="str">
        <f>HYPERLINK("http://www.eatonpowersource.com/products/details/02-136808","02-136808")</f>
        <v>02-136808</v>
      </c>
      <c r="B9788" s="6" t="s">
        <v>9719</v>
      </c>
    </row>
    <row r="9789" spans="1:2" x14ac:dyDescent="0.3">
      <c r="A9789" s="7" t="str">
        <f>HYPERLINK("http://www.eatonpowersource.com/products/details/02-136810","02-136810")</f>
        <v>02-136810</v>
      </c>
      <c r="B9789" s="8" t="s">
        <v>9720</v>
      </c>
    </row>
    <row r="9790" spans="1:2" x14ac:dyDescent="0.3">
      <c r="A9790" s="5" t="str">
        <f>HYPERLINK("http://www.eatonpowersource.com/products/details/02-136812","02-136812")</f>
        <v>02-136812</v>
      </c>
      <c r="B9790" s="6" t="s">
        <v>9721</v>
      </c>
    </row>
    <row r="9791" spans="1:2" x14ac:dyDescent="0.3">
      <c r="A9791" s="7" t="str">
        <f>HYPERLINK("http://www.eatonpowersource.com/products/details/02-136813","02-136813")</f>
        <v>02-136813</v>
      </c>
      <c r="B9791" s="8" t="s">
        <v>9722</v>
      </c>
    </row>
    <row r="9792" spans="1:2" x14ac:dyDescent="0.3">
      <c r="A9792" s="5" t="str">
        <f>HYPERLINK("http://www.eatonpowersource.com/products/details/02-136815","02-136815")</f>
        <v>02-136815</v>
      </c>
      <c r="B9792" s="6" t="s">
        <v>9723</v>
      </c>
    </row>
    <row r="9793" spans="1:2" x14ac:dyDescent="0.3">
      <c r="A9793" s="7" t="str">
        <f>HYPERLINK("http://www.eatonpowersource.com/products/details/02-136816","02-136816")</f>
        <v>02-136816</v>
      </c>
      <c r="B9793" s="8" t="s">
        <v>9724</v>
      </c>
    </row>
    <row r="9794" spans="1:2" x14ac:dyDescent="0.3">
      <c r="A9794" s="5" t="str">
        <f>HYPERLINK("http://www.eatonpowersource.com/products/details/02-136817","02-136817")</f>
        <v>02-136817</v>
      </c>
      <c r="B9794" s="6" t="s">
        <v>9725</v>
      </c>
    </row>
    <row r="9795" spans="1:2" x14ac:dyDescent="0.3">
      <c r="A9795" s="7" t="str">
        <f>HYPERLINK("http://www.eatonpowersource.com/products/details/02-136879","02-136879")</f>
        <v>02-136879</v>
      </c>
      <c r="B9795" s="8" t="s">
        <v>9726</v>
      </c>
    </row>
    <row r="9796" spans="1:2" x14ac:dyDescent="0.3">
      <c r="A9796" s="5" t="str">
        <f>HYPERLINK("http://www.eatonpowersource.com/products/details/02-137555","02-137555")</f>
        <v>02-137555</v>
      </c>
      <c r="B9796" s="6" t="s">
        <v>9727</v>
      </c>
    </row>
    <row r="9797" spans="1:2" x14ac:dyDescent="0.3">
      <c r="A9797" s="7" t="str">
        <f>HYPERLINK("http://www.eatonpowersource.com/products/details/02-138201","02-138201")</f>
        <v>02-138201</v>
      </c>
      <c r="B9797" s="8" t="s">
        <v>9728</v>
      </c>
    </row>
    <row r="9798" spans="1:2" x14ac:dyDescent="0.3">
      <c r="A9798" s="5" t="str">
        <f>HYPERLINK("http://www.eatonpowersource.com/products/details/02-138955","02-138955")</f>
        <v>02-138955</v>
      </c>
      <c r="B9798" s="6" t="s">
        <v>9729</v>
      </c>
    </row>
    <row r="9799" spans="1:2" x14ac:dyDescent="0.3">
      <c r="A9799" s="7" t="str">
        <f>HYPERLINK("http://www.eatonpowersource.com/products/details/02-138956","02-138956")</f>
        <v>02-138956</v>
      </c>
      <c r="B9799" s="8" t="s">
        <v>9730</v>
      </c>
    </row>
    <row r="9800" spans="1:2" x14ac:dyDescent="0.3">
      <c r="A9800" s="5" t="str">
        <f>HYPERLINK("http://www.eatonpowersource.com/products/details/02-138957","02-138957")</f>
        <v>02-138957</v>
      </c>
      <c r="B9800" s="6" t="s">
        <v>9731</v>
      </c>
    </row>
    <row r="9801" spans="1:2" x14ac:dyDescent="0.3">
      <c r="A9801" s="7" t="str">
        <f>HYPERLINK("http://www.eatonpowersource.com/products/details/02-139219","02-139219")</f>
        <v>02-139219</v>
      </c>
      <c r="B9801" s="8" t="s">
        <v>9732</v>
      </c>
    </row>
    <row r="9802" spans="1:2" x14ac:dyDescent="0.3">
      <c r="A9802" s="5" t="str">
        <f>HYPERLINK("http://www.eatonpowersource.com/products/details/02-140211","02-140211")</f>
        <v>02-140211</v>
      </c>
      <c r="B9802" s="6" t="s">
        <v>9733</v>
      </c>
    </row>
    <row r="9803" spans="1:2" x14ac:dyDescent="0.3">
      <c r="A9803" s="7" t="str">
        <f>HYPERLINK("http://www.eatonpowersource.com/products/details/02-140394","02-140394")</f>
        <v>02-140394</v>
      </c>
      <c r="B9803" s="8" t="s">
        <v>9734</v>
      </c>
    </row>
    <row r="9804" spans="1:2" x14ac:dyDescent="0.3">
      <c r="A9804" s="5" t="str">
        <f>HYPERLINK("http://www.eatonpowersource.com/products/details/02-140395","02-140395")</f>
        <v>02-140395</v>
      </c>
      <c r="B9804" s="6" t="s">
        <v>9735</v>
      </c>
    </row>
    <row r="9805" spans="1:2" x14ac:dyDescent="0.3">
      <c r="A9805" s="7" t="str">
        <f>HYPERLINK("http://www.eatonpowersource.com/products/details/02-140421","02-140421")</f>
        <v>02-140421</v>
      </c>
      <c r="B9805" s="8" t="s">
        <v>9736</v>
      </c>
    </row>
    <row r="9806" spans="1:2" x14ac:dyDescent="0.3">
      <c r="A9806" s="5" t="str">
        <f>HYPERLINK("http://www.eatonpowersource.com/products/details/02-140469","02-140469")</f>
        <v>02-140469</v>
      </c>
      <c r="B9806" s="6" t="s">
        <v>9737</v>
      </c>
    </row>
    <row r="9807" spans="1:2" x14ac:dyDescent="0.3">
      <c r="A9807" s="7" t="str">
        <f>HYPERLINK("http://www.eatonpowersource.com/products/details/02-140541","02-140541")</f>
        <v>02-140541</v>
      </c>
      <c r="B9807" s="8" t="s">
        <v>9738</v>
      </c>
    </row>
    <row r="9808" spans="1:2" x14ac:dyDescent="0.3">
      <c r="A9808" s="5" t="str">
        <f>HYPERLINK("http://www.eatonpowersource.com/products/details/02-141356","02-141356")</f>
        <v>02-141356</v>
      </c>
      <c r="B9808" s="6" t="s">
        <v>9739</v>
      </c>
    </row>
    <row r="9809" spans="1:2" x14ac:dyDescent="0.3">
      <c r="A9809" s="7" t="str">
        <f>HYPERLINK("http://www.eatonpowersource.com/products/details/02-141360","02-141360")</f>
        <v>02-141360</v>
      </c>
      <c r="B9809" s="8" t="s">
        <v>9739</v>
      </c>
    </row>
    <row r="9810" spans="1:2" x14ac:dyDescent="0.3">
      <c r="A9810" s="5" t="str">
        <f>HYPERLINK("http://www.eatonpowersource.com/products/details/02-142690","02-142690")</f>
        <v>02-142690</v>
      </c>
      <c r="B9810" s="6" t="s">
        <v>9740</v>
      </c>
    </row>
    <row r="9811" spans="1:2" x14ac:dyDescent="0.3">
      <c r="A9811" s="7" t="str">
        <f>HYPERLINK("http://www.eatonpowersource.com/products/details/02-142791","02-142791")</f>
        <v>02-142791</v>
      </c>
      <c r="B9811" s="8" t="s">
        <v>9741</v>
      </c>
    </row>
    <row r="9812" spans="1:2" x14ac:dyDescent="0.3">
      <c r="A9812" s="5" t="str">
        <f>HYPERLINK("http://www.eatonpowersource.com/products/details/02-143191","02-143191")</f>
        <v>02-143191</v>
      </c>
      <c r="B9812" s="6" t="s">
        <v>9742</v>
      </c>
    </row>
    <row r="9813" spans="1:2" x14ac:dyDescent="0.3">
      <c r="A9813" s="7" t="str">
        <f>HYPERLINK("http://www.eatonpowersource.com/products/details/02-143419","02-143419")</f>
        <v>02-143419</v>
      </c>
      <c r="B9813" s="8" t="s">
        <v>9743</v>
      </c>
    </row>
    <row r="9814" spans="1:2" x14ac:dyDescent="0.3">
      <c r="A9814" s="5" t="str">
        <f>HYPERLINK("http://www.eatonpowersource.com/products/details/02-145915","02-145915")</f>
        <v>02-145915</v>
      </c>
      <c r="B9814" s="6" t="s">
        <v>9744</v>
      </c>
    </row>
    <row r="9815" spans="1:2" x14ac:dyDescent="0.3">
      <c r="A9815" s="7" t="str">
        <f>HYPERLINK("http://www.eatonpowersource.com/products/details/02-146582","02-146582")</f>
        <v>02-146582</v>
      </c>
      <c r="B9815" s="8" t="s">
        <v>9745</v>
      </c>
    </row>
    <row r="9816" spans="1:2" x14ac:dyDescent="0.3">
      <c r="A9816" s="5" t="str">
        <f>HYPERLINK("http://www.eatonpowersource.com/products/details/02-147571","02-147571")</f>
        <v>02-147571</v>
      </c>
      <c r="B9816" s="6" t="s">
        <v>9746</v>
      </c>
    </row>
    <row r="9817" spans="1:2" x14ac:dyDescent="0.3">
      <c r="A9817" s="7" t="str">
        <f>HYPERLINK("http://www.eatonpowersource.com/products/details/02-147573","02-147573")</f>
        <v>02-147573</v>
      </c>
      <c r="B9817" s="8" t="s">
        <v>9747</v>
      </c>
    </row>
    <row r="9818" spans="1:2" x14ac:dyDescent="0.3">
      <c r="A9818" s="5" t="str">
        <f>HYPERLINK("http://www.eatonpowersource.com/products/details/02-148346","02-148346")</f>
        <v>02-148346</v>
      </c>
      <c r="B9818" s="6" t="s">
        <v>9748</v>
      </c>
    </row>
    <row r="9819" spans="1:2" x14ac:dyDescent="0.3">
      <c r="A9819" s="7" t="str">
        <f>HYPERLINK("http://www.eatonpowersource.com/products/details/02-148711","02-148711")</f>
        <v>02-148711</v>
      </c>
      <c r="B9819" s="8" t="s">
        <v>9749</v>
      </c>
    </row>
    <row r="9820" spans="1:2" x14ac:dyDescent="0.3">
      <c r="A9820" s="5" t="str">
        <f>HYPERLINK("http://www.eatonpowersource.com/products/details/02-151609","02-151609")</f>
        <v>02-151609</v>
      </c>
      <c r="B9820" s="6" t="s">
        <v>9750</v>
      </c>
    </row>
    <row r="9821" spans="1:2" x14ac:dyDescent="0.3">
      <c r="A9821" s="7" t="str">
        <f>HYPERLINK("http://www.eatonpowersource.com/products/details/02-151731","02-151731")</f>
        <v>02-151731</v>
      </c>
      <c r="B9821" s="8" t="s">
        <v>9751</v>
      </c>
    </row>
    <row r="9822" spans="1:2" x14ac:dyDescent="0.3">
      <c r="A9822" s="5" t="str">
        <f>HYPERLINK("http://www.eatonpowersource.com/products/details/02-151904","02-151904")</f>
        <v>02-151904</v>
      </c>
      <c r="B9822" s="6" t="s">
        <v>9712</v>
      </c>
    </row>
    <row r="9823" spans="1:2" x14ac:dyDescent="0.3">
      <c r="A9823" s="7" t="str">
        <f>HYPERLINK("http://www.eatonpowersource.com/products/details/02-151905","02-151905")</f>
        <v>02-151905</v>
      </c>
      <c r="B9823" s="8" t="s">
        <v>9752</v>
      </c>
    </row>
    <row r="9824" spans="1:2" x14ac:dyDescent="0.3">
      <c r="A9824" s="5" t="str">
        <f>HYPERLINK("http://www.eatonpowersource.com/products/details/02-151906","02-151906")</f>
        <v>02-151906</v>
      </c>
      <c r="B9824" s="6" t="s">
        <v>9753</v>
      </c>
    </row>
    <row r="9825" spans="1:2" x14ac:dyDescent="0.3">
      <c r="A9825" s="7" t="str">
        <f>HYPERLINK("http://www.eatonpowersource.com/products/details/02-154069","02-154069")</f>
        <v>02-154069</v>
      </c>
      <c r="B9825" s="8" t="s">
        <v>9754</v>
      </c>
    </row>
    <row r="9826" spans="1:2" x14ac:dyDescent="0.3">
      <c r="A9826" s="5" t="str">
        <f>HYPERLINK("http://www.eatonpowersource.com/products/details/02-154070","02-154070")</f>
        <v>02-154070</v>
      </c>
      <c r="B9826" s="6" t="s">
        <v>9755</v>
      </c>
    </row>
    <row r="9827" spans="1:2" x14ac:dyDescent="0.3">
      <c r="A9827" s="7" t="str">
        <f>HYPERLINK("http://www.eatonpowersource.com/products/details/02-154072","02-154072")</f>
        <v>02-154072</v>
      </c>
      <c r="B9827" s="8" t="s">
        <v>9756</v>
      </c>
    </row>
    <row r="9828" spans="1:2" x14ac:dyDescent="0.3">
      <c r="A9828" s="5" t="str">
        <f>HYPERLINK("http://www.eatonpowersource.com/products/details/02-154124","02-154124")</f>
        <v>02-154124</v>
      </c>
      <c r="B9828" s="6" t="s">
        <v>9757</v>
      </c>
    </row>
    <row r="9829" spans="1:2" x14ac:dyDescent="0.3">
      <c r="A9829" s="7" t="str">
        <f>HYPERLINK("http://www.eatonpowersource.com/products/details/02-154422","02-154422")</f>
        <v>02-154422</v>
      </c>
      <c r="B9829" s="8" t="s">
        <v>9758</v>
      </c>
    </row>
    <row r="9830" spans="1:2" x14ac:dyDescent="0.3">
      <c r="A9830" s="5" t="str">
        <f>HYPERLINK("http://www.eatonpowersource.com/products/details/02-154423","02-154423")</f>
        <v>02-154423</v>
      </c>
      <c r="B9830" s="6" t="s">
        <v>9758</v>
      </c>
    </row>
    <row r="9831" spans="1:2" x14ac:dyDescent="0.3">
      <c r="A9831" s="7" t="str">
        <f>HYPERLINK("http://www.eatonpowersource.com/products/details/02-154476","02-154476")</f>
        <v>02-154476</v>
      </c>
      <c r="B9831" s="8" t="s">
        <v>9759</v>
      </c>
    </row>
    <row r="9832" spans="1:2" x14ac:dyDescent="0.3">
      <c r="A9832" s="5" t="str">
        <f>HYPERLINK("http://www.eatonpowersource.com/products/details/02-156492","02-156492")</f>
        <v>02-156492</v>
      </c>
      <c r="B9832" s="6" t="s">
        <v>9760</v>
      </c>
    </row>
    <row r="9833" spans="1:2" x14ac:dyDescent="0.3">
      <c r="A9833" s="7" t="str">
        <f>HYPERLINK("http://www.eatonpowersource.com/products/details/02-156844","02-156844")</f>
        <v>02-156844</v>
      </c>
      <c r="B9833" s="8" t="s">
        <v>9761</v>
      </c>
    </row>
    <row r="9834" spans="1:2" x14ac:dyDescent="0.3">
      <c r="A9834" s="5" t="str">
        <f>HYPERLINK("http://www.eatonpowersource.com/products/details/02-156951","02-156951")</f>
        <v>02-156951</v>
      </c>
      <c r="B9834" s="6" t="s">
        <v>9762</v>
      </c>
    </row>
    <row r="9835" spans="1:2" x14ac:dyDescent="0.3">
      <c r="A9835" s="7" t="str">
        <f>HYPERLINK("http://www.eatonpowersource.com/products/details/02-156954","02-156954")</f>
        <v>02-156954</v>
      </c>
      <c r="B9835" s="8" t="s">
        <v>9763</v>
      </c>
    </row>
    <row r="9836" spans="1:2" x14ac:dyDescent="0.3">
      <c r="A9836" s="5" t="str">
        <f>HYPERLINK("http://www.eatonpowersource.com/products/details/02-156955","02-156955")</f>
        <v>02-156955</v>
      </c>
      <c r="B9836" s="6" t="s">
        <v>9764</v>
      </c>
    </row>
    <row r="9837" spans="1:2" x14ac:dyDescent="0.3">
      <c r="A9837" s="7" t="str">
        <f>HYPERLINK("http://www.eatonpowersource.com/products/details/02-156957","02-156957")</f>
        <v>02-156957</v>
      </c>
      <c r="B9837" s="8" t="s">
        <v>9765</v>
      </c>
    </row>
    <row r="9838" spans="1:2" x14ac:dyDescent="0.3">
      <c r="A9838" s="5" t="str">
        <f>HYPERLINK("http://www.eatonpowersource.com/products/details/02-156959","02-156959")</f>
        <v>02-156959</v>
      </c>
      <c r="B9838" s="6" t="s">
        <v>9766</v>
      </c>
    </row>
    <row r="9839" spans="1:2" x14ac:dyDescent="0.3">
      <c r="A9839" s="7" t="str">
        <f>HYPERLINK("http://www.eatonpowersource.com/products/details/02-156960","02-156960")</f>
        <v>02-156960</v>
      </c>
      <c r="B9839" s="8" t="s">
        <v>9767</v>
      </c>
    </row>
    <row r="9840" spans="1:2" x14ac:dyDescent="0.3">
      <c r="A9840" s="5" t="str">
        <f>HYPERLINK("http://www.eatonpowersource.com/products/details/02-156961","02-156961")</f>
        <v>02-156961</v>
      </c>
      <c r="B9840" s="6" t="s">
        <v>9768</v>
      </c>
    </row>
    <row r="9841" spans="1:2" x14ac:dyDescent="0.3">
      <c r="A9841" s="7" t="str">
        <f>HYPERLINK("http://www.eatonpowersource.com/products/details/02-156963","02-156963")</f>
        <v>02-156963</v>
      </c>
      <c r="B9841" s="8" t="s">
        <v>9769</v>
      </c>
    </row>
    <row r="9842" spans="1:2" x14ac:dyDescent="0.3">
      <c r="A9842" s="5" t="str">
        <f>HYPERLINK("http://www.eatonpowersource.com/products/details/02-156969","02-156969")</f>
        <v>02-156969</v>
      </c>
      <c r="B9842" s="6" t="s">
        <v>9770</v>
      </c>
    </row>
    <row r="9843" spans="1:2" x14ac:dyDescent="0.3">
      <c r="A9843" s="7" t="str">
        <f>HYPERLINK("http://www.eatonpowersource.com/products/details/02-157030","02-157030")</f>
        <v>02-157030</v>
      </c>
      <c r="B9843" s="8" t="s">
        <v>9771</v>
      </c>
    </row>
    <row r="9844" spans="1:2" x14ac:dyDescent="0.3">
      <c r="A9844" s="5" t="str">
        <f>HYPERLINK("http://www.eatonpowersource.com/products/details/02-157165","02-157165")</f>
        <v>02-157165</v>
      </c>
      <c r="B9844" s="6" t="s">
        <v>9772</v>
      </c>
    </row>
    <row r="9845" spans="1:2" x14ac:dyDescent="0.3">
      <c r="A9845" s="7" t="str">
        <f>HYPERLINK("http://www.eatonpowersource.com/products/details/02-157167","02-157167")</f>
        <v>02-157167</v>
      </c>
      <c r="B9845" s="8" t="s">
        <v>9773</v>
      </c>
    </row>
    <row r="9846" spans="1:2" x14ac:dyDescent="0.3">
      <c r="A9846" s="5" t="str">
        <f>HYPERLINK("http://www.eatonpowersource.com/products/details/02-157168","02-157168")</f>
        <v>02-157168</v>
      </c>
      <c r="B9846" s="6" t="s">
        <v>9774</v>
      </c>
    </row>
    <row r="9847" spans="1:2" x14ac:dyDescent="0.3">
      <c r="A9847" s="7" t="str">
        <f>HYPERLINK("http://www.eatonpowersource.com/products/details/02-157536","02-157536")</f>
        <v>02-157536</v>
      </c>
      <c r="B9847" s="8" t="s">
        <v>9775</v>
      </c>
    </row>
    <row r="9848" spans="1:2" x14ac:dyDescent="0.3">
      <c r="A9848" s="5" t="str">
        <f>HYPERLINK("http://www.eatonpowersource.com/products/details/02-157537","02-157537")</f>
        <v>02-157537</v>
      </c>
      <c r="B9848" s="6" t="s">
        <v>9776</v>
      </c>
    </row>
    <row r="9849" spans="1:2" x14ac:dyDescent="0.3">
      <c r="A9849" s="7" t="str">
        <f>HYPERLINK("http://www.eatonpowersource.com/products/details/02-157613","02-157613")</f>
        <v>02-157613</v>
      </c>
      <c r="B9849" s="8" t="s">
        <v>9777</v>
      </c>
    </row>
    <row r="9850" spans="1:2" x14ac:dyDescent="0.3">
      <c r="A9850" s="5" t="str">
        <f>HYPERLINK("http://www.eatonpowersource.com/products/details/02-157615","02-157615")</f>
        <v>02-157615</v>
      </c>
      <c r="B9850" s="6" t="s">
        <v>9778</v>
      </c>
    </row>
    <row r="9851" spans="1:2" x14ac:dyDescent="0.3">
      <c r="A9851" s="7" t="str">
        <f>HYPERLINK("http://www.eatonpowersource.com/products/details/02-157616","02-157616")</f>
        <v>02-157616</v>
      </c>
      <c r="B9851" s="8" t="s">
        <v>9779</v>
      </c>
    </row>
    <row r="9852" spans="1:2" x14ac:dyDescent="0.3">
      <c r="A9852" s="5" t="str">
        <f>HYPERLINK("http://www.eatonpowersource.com/products/details/02-157617","02-157617")</f>
        <v>02-157617</v>
      </c>
      <c r="B9852" s="6" t="s">
        <v>9780</v>
      </c>
    </row>
    <row r="9853" spans="1:2" x14ac:dyDescent="0.3">
      <c r="A9853" s="7" t="str">
        <f>HYPERLINK("http://www.eatonpowersource.com/products/details/02-157618","02-157618")</f>
        <v>02-157618</v>
      </c>
      <c r="B9853" s="8" t="s">
        <v>9781</v>
      </c>
    </row>
    <row r="9854" spans="1:2" x14ac:dyDescent="0.3">
      <c r="A9854" s="5" t="str">
        <f>HYPERLINK("http://www.eatonpowersource.com/products/details/02-157672","02-157672")</f>
        <v>02-157672</v>
      </c>
      <c r="B9854" s="6" t="s">
        <v>9782</v>
      </c>
    </row>
    <row r="9855" spans="1:2" x14ac:dyDescent="0.3">
      <c r="A9855" s="7" t="str">
        <f>HYPERLINK("http://www.eatonpowersource.com/products/details/02-157674","02-157674")</f>
        <v>02-157674</v>
      </c>
      <c r="B9855" s="8" t="s">
        <v>9783</v>
      </c>
    </row>
    <row r="9856" spans="1:2" x14ac:dyDescent="0.3">
      <c r="A9856" s="5" t="str">
        <f>HYPERLINK("http://www.eatonpowersource.com/products/details/02-157675","02-157675")</f>
        <v>02-157675</v>
      </c>
      <c r="B9856" s="6" t="s">
        <v>9784</v>
      </c>
    </row>
    <row r="9857" spans="1:2" x14ac:dyDescent="0.3">
      <c r="A9857" s="7" t="str">
        <f>HYPERLINK("http://www.eatonpowersource.com/products/details/02-157677","02-157677")</f>
        <v>02-157677</v>
      </c>
      <c r="B9857" s="8" t="s">
        <v>9785</v>
      </c>
    </row>
    <row r="9858" spans="1:2" x14ac:dyDescent="0.3">
      <c r="A9858" s="5" t="str">
        <f>HYPERLINK("http://www.eatonpowersource.com/products/details/02-157678","02-157678")</f>
        <v>02-157678</v>
      </c>
      <c r="B9858" s="6" t="s">
        <v>9786</v>
      </c>
    </row>
    <row r="9859" spans="1:2" x14ac:dyDescent="0.3">
      <c r="A9859" s="7" t="str">
        <f>HYPERLINK("http://www.eatonpowersource.com/products/details/02-157679","02-157679")</f>
        <v>02-157679</v>
      </c>
      <c r="B9859" s="8" t="s">
        <v>9787</v>
      </c>
    </row>
    <row r="9860" spans="1:2" x14ac:dyDescent="0.3">
      <c r="A9860" s="5" t="str">
        <f>HYPERLINK("http://www.eatonpowersource.com/products/details/02-157712","02-157712")</f>
        <v>02-157712</v>
      </c>
      <c r="B9860" s="6" t="s">
        <v>9788</v>
      </c>
    </row>
    <row r="9861" spans="1:2" x14ac:dyDescent="0.3">
      <c r="A9861" s="7" t="str">
        <f>HYPERLINK("http://www.eatonpowersource.com/products/details/02-157713","02-157713")</f>
        <v>02-157713</v>
      </c>
      <c r="B9861" s="8" t="s">
        <v>9789</v>
      </c>
    </row>
    <row r="9862" spans="1:2" x14ac:dyDescent="0.3">
      <c r="A9862" s="5" t="str">
        <f>HYPERLINK("http://www.eatonpowersource.com/products/details/02-157905","02-157905")</f>
        <v>02-157905</v>
      </c>
      <c r="B9862" s="6" t="s">
        <v>9790</v>
      </c>
    </row>
    <row r="9863" spans="1:2" x14ac:dyDescent="0.3">
      <c r="A9863" s="7" t="str">
        <f>HYPERLINK("http://www.eatonpowersource.com/products/details/02-160554","02-160554")</f>
        <v>02-160554</v>
      </c>
      <c r="B9863" s="8" t="s">
        <v>9791</v>
      </c>
    </row>
    <row r="9864" spans="1:2" x14ac:dyDescent="0.3">
      <c r="A9864" s="5" t="str">
        <f>HYPERLINK("http://www.eatonpowersource.com/products/details/02-160591","02-160591")</f>
        <v>02-160591</v>
      </c>
      <c r="B9864" s="6" t="s">
        <v>9792</v>
      </c>
    </row>
    <row r="9865" spans="1:2" x14ac:dyDescent="0.3">
      <c r="A9865" s="7" t="str">
        <f>HYPERLINK("http://www.eatonpowersource.com/products/details/02-301166","02-301166")</f>
        <v>02-301166</v>
      </c>
      <c r="B9865" s="8" t="s">
        <v>2797</v>
      </c>
    </row>
    <row r="9866" spans="1:2" x14ac:dyDescent="0.3">
      <c r="A9866" s="5" t="str">
        <f>HYPERLINK("http://www.eatonpowersource.com/products/details/02-301168","02-301168")</f>
        <v>02-301168</v>
      </c>
      <c r="B9866" s="6" t="s">
        <v>9793</v>
      </c>
    </row>
    <row r="9867" spans="1:2" x14ac:dyDescent="0.3">
      <c r="A9867" s="7" t="str">
        <f>HYPERLINK("http://www.eatonpowersource.com/products/details/02-306056","02-306056")</f>
        <v>02-306056</v>
      </c>
      <c r="B9867" s="8" t="s">
        <v>9794</v>
      </c>
    </row>
    <row r="9868" spans="1:2" x14ac:dyDescent="0.3">
      <c r="A9868" s="5" t="str">
        <f>HYPERLINK("http://www.eatonpowersource.com/products/details/02-308718","02-308718")</f>
        <v>02-308718</v>
      </c>
      <c r="B9868" s="6" t="s">
        <v>9795</v>
      </c>
    </row>
    <row r="9869" spans="1:2" x14ac:dyDescent="0.3">
      <c r="A9869" s="7" t="str">
        <f>HYPERLINK("http://www.eatonpowersource.com/products/details/02-309455","02-309455")</f>
        <v>02-309455</v>
      </c>
      <c r="B9869" s="8" t="s">
        <v>9796</v>
      </c>
    </row>
    <row r="9870" spans="1:2" x14ac:dyDescent="0.3">
      <c r="A9870" s="5" t="str">
        <f>HYPERLINK("http://www.eatonpowersource.com/products/details/02-309469","02-309469")</f>
        <v>02-309469</v>
      </c>
      <c r="B9870" s="6" t="s">
        <v>9796</v>
      </c>
    </row>
    <row r="9871" spans="1:2" x14ac:dyDescent="0.3">
      <c r="A9871" s="7" t="str">
        <f>HYPERLINK("http://www.eatonpowersource.com/products/details/02-309616","02-309616")</f>
        <v>02-309616</v>
      </c>
      <c r="B9871" s="8" t="s">
        <v>9797</v>
      </c>
    </row>
    <row r="9872" spans="1:2" x14ac:dyDescent="0.3">
      <c r="A9872" s="5" t="str">
        <f>HYPERLINK("http://www.eatonpowersource.com/products/details/02-309986","02-309986")</f>
        <v>02-309986</v>
      </c>
      <c r="B9872" s="6" t="s">
        <v>9798</v>
      </c>
    </row>
    <row r="9873" spans="1:2" x14ac:dyDescent="0.3">
      <c r="A9873" s="7" t="str">
        <f>HYPERLINK("http://www.eatonpowersource.com/products/details/02-309991","02-309991")</f>
        <v>02-309991</v>
      </c>
      <c r="B9873" s="8" t="s">
        <v>9798</v>
      </c>
    </row>
    <row r="9874" spans="1:2" x14ac:dyDescent="0.3">
      <c r="A9874" s="5" t="str">
        <f>HYPERLINK("http://www.eatonpowersource.com/products/details/02-310122","02-310122")</f>
        <v>02-310122</v>
      </c>
      <c r="B9874" s="6" t="s">
        <v>9799</v>
      </c>
    </row>
    <row r="9875" spans="1:2" x14ac:dyDescent="0.3">
      <c r="A9875" s="7" t="str">
        <f>HYPERLINK("http://www.eatonpowersource.com/products/details/02-310967","02-310967")</f>
        <v>02-310967</v>
      </c>
      <c r="B9875" s="8" t="s">
        <v>9800</v>
      </c>
    </row>
    <row r="9876" spans="1:2" x14ac:dyDescent="0.3">
      <c r="A9876" s="5" t="str">
        <f>HYPERLINK("http://www.eatonpowersource.com/products/details/02-310971","02-310971")</f>
        <v>02-310971</v>
      </c>
      <c r="B9876" s="6" t="s">
        <v>9801</v>
      </c>
    </row>
    <row r="9877" spans="1:2" x14ac:dyDescent="0.3">
      <c r="A9877" s="7" t="str">
        <f>HYPERLINK("http://www.eatonpowersource.com/products/details/02-310975","02-310975")</f>
        <v>02-310975</v>
      </c>
      <c r="B9877" s="8" t="s">
        <v>9802</v>
      </c>
    </row>
    <row r="9878" spans="1:2" x14ac:dyDescent="0.3">
      <c r="A9878" s="5" t="str">
        <f>HYPERLINK("http://www.eatonpowersource.com/products/details/02-313321","02-313321")</f>
        <v>02-313321</v>
      </c>
      <c r="B9878" s="6" t="s">
        <v>9803</v>
      </c>
    </row>
    <row r="9879" spans="1:2" x14ac:dyDescent="0.3">
      <c r="A9879" s="7" t="str">
        <f>HYPERLINK("http://www.eatonpowersource.com/products/details/02-313322","02-313322")</f>
        <v>02-313322</v>
      </c>
      <c r="B9879" s="8" t="s">
        <v>9804</v>
      </c>
    </row>
    <row r="9880" spans="1:2" x14ac:dyDescent="0.3">
      <c r="A9880" s="5" t="str">
        <f>HYPERLINK("http://www.eatonpowersource.com/products/details/02-313762","02-313762")</f>
        <v>02-313762</v>
      </c>
      <c r="B9880" s="6" t="s">
        <v>9803</v>
      </c>
    </row>
    <row r="9881" spans="1:2" x14ac:dyDescent="0.3">
      <c r="A9881" s="7" t="str">
        <f>HYPERLINK("http://www.eatonpowersource.com/products/details/02-313765","02-313765")</f>
        <v>02-313765</v>
      </c>
      <c r="B9881" s="8" t="s">
        <v>9805</v>
      </c>
    </row>
    <row r="9882" spans="1:2" x14ac:dyDescent="0.3">
      <c r="A9882" s="5" t="str">
        <f>HYPERLINK("http://www.eatonpowersource.com/products/details/02-314254","02-314254")</f>
        <v>02-314254</v>
      </c>
      <c r="B9882" s="6" t="s">
        <v>9806</v>
      </c>
    </row>
    <row r="9883" spans="1:2" x14ac:dyDescent="0.3">
      <c r="A9883" s="7" t="str">
        <f>HYPERLINK("http://www.eatonpowersource.com/products/details/02-314944","02-314944")</f>
        <v>02-314944</v>
      </c>
      <c r="B9883" s="8" t="s">
        <v>9807</v>
      </c>
    </row>
    <row r="9884" spans="1:2" x14ac:dyDescent="0.3">
      <c r="A9884" s="5" t="str">
        <f>HYPERLINK("http://www.eatonpowersource.com/products/details/02-317246","02-317246")</f>
        <v>02-317246</v>
      </c>
      <c r="B9884" s="6" t="s">
        <v>9808</v>
      </c>
    </row>
    <row r="9885" spans="1:2" x14ac:dyDescent="0.3">
      <c r="A9885" s="7" t="str">
        <f>HYPERLINK("http://www.eatonpowersource.com/products/details/02-317247","02-317247")</f>
        <v>02-317247</v>
      </c>
      <c r="B9885" s="8" t="s">
        <v>9809</v>
      </c>
    </row>
    <row r="9886" spans="1:2" x14ac:dyDescent="0.3">
      <c r="A9886" s="5" t="str">
        <f>HYPERLINK("http://www.eatonpowersource.com/products/details/02-321214","02-321214")</f>
        <v>02-321214</v>
      </c>
      <c r="B9886" s="6" t="s">
        <v>9810</v>
      </c>
    </row>
    <row r="9887" spans="1:2" x14ac:dyDescent="0.3">
      <c r="A9887" s="7" t="str">
        <f>HYPERLINK("http://www.eatonpowersource.com/products/details/02-324053","02-324053")</f>
        <v>02-324053</v>
      </c>
      <c r="B9887" s="8" t="s">
        <v>9811</v>
      </c>
    </row>
    <row r="9888" spans="1:2" x14ac:dyDescent="0.3">
      <c r="A9888" s="5" t="str">
        <f>HYPERLINK("http://www.eatonpowersource.com/products/details/02-324054","02-324054")</f>
        <v>02-324054</v>
      </c>
      <c r="B9888" s="6" t="s">
        <v>9812</v>
      </c>
    </row>
    <row r="9889" spans="1:2" x14ac:dyDescent="0.3">
      <c r="A9889" s="7" t="str">
        <f>HYPERLINK("http://www.eatonpowersource.com/products/details/02-324068","02-324068")</f>
        <v>02-324068</v>
      </c>
      <c r="B9889" s="8" t="s">
        <v>9813</v>
      </c>
    </row>
    <row r="9890" spans="1:2" x14ac:dyDescent="0.3">
      <c r="A9890" s="5" t="str">
        <f>HYPERLINK("http://www.eatonpowersource.com/products/details/02-324580","02-324580")</f>
        <v>02-324580</v>
      </c>
      <c r="B9890" s="6" t="s">
        <v>9814</v>
      </c>
    </row>
    <row r="9891" spans="1:2" x14ac:dyDescent="0.3">
      <c r="A9891" s="7" t="str">
        <f>HYPERLINK("http://www.eatonpowersource.com/products/details/02-324906","02-324906")</f>
        <v>02-324906</v>
      </c>
      <c r="B9891" s="8" t="s">
        <v>9815</v>
      </c>
    </row>
    <row r="9892" spans="1:2" x14ac:dyDescent="0.3">
      <c r="A9892" s="5" t="str">
        <f>HYPERLINK("http://www.eatonpowersource.com/products/details/02-328015","02-328015")</f>
        <v>02-328015</v>
      </c>
      <c r="B9892" s="6" t="s">
        <v>9816</v>
      </c>
    </row>
    <row r="9893" spans="1:2" x14ac:dyDescent="0.3">
      <c r="A9893" s="7" t="str">
        <f>HYPERLINK("http://www.eatonpowersource.com/products/details/02-328397","02-328397")</f>
        <v>02-328397</v>
      </c>
      <c r="B9893" s="8" t="s">
        <v>9817</v>
      </c>
    </row>
    <row r="9894" spans="1:2" x14ac:dyDescent="0.3">
      <c r="A9894" s="5" t="str">
        <f>HYPERLINK("http://www.eatonpowersource.com/products/details/02-329322","02-329322")</f>
        <v>02-329322</v>
      </c>
      <c r="B9894" s="6" t="s">
        <v>9818</v>
      </c>
    </row>
    <row r="9895" spans="1:2" x14ac:dyDescent="0.3">
      <c r="A9895" s="7" t="str">
        <f>HYPERLINK("http://www.eatonpowersource.com/products/details/02-329323","02-329323")</f>
        <v>02-329323</v>
      </c>
      <c r="B9895" s="8" t="s">
        <v>9819</v>
      </c>
    </row>
    <row r="9896" spans="1:2" x14ac:dyDescent="0.3">
      <c r="A9896" s="5" t="str">
        <f>HYPERLINK("http://www.eatonpowersource.com/products/details/02-329888","02-329888")</f>
        <v>02-329888</v>
      </c>
      <c r="B9896" s="6" t="s">
        <v>9820</v>
      </c>
    </row>
    <row r="9897" spans="1:2" x14ac:dyDescent="0.3">
      <c r="A9897" s="7" t="str">
        <f>HYPERLINK("http://www.eatonpowersource.com/products/details/02-330404","02-330404")</f>
        <v>02-330404</v>
      </c>
      <c r="B9897" s="8" t="s">
        <v>9821</v>
      </c>
    </row>
    <row r="9898" spans="1:2" x14ac:dyDescent="0.3">
      <c r="A9898" s="5" t="str">
        <f>HYPERLINK("http://www.eatonpowersource.com/products/details/02-331820","02-331820")</f>
        <v>02-331820</v>
      </c>
      <c r="B9898" s="6" t="s">
        <v>9822</v>
      </c>
    </row>
    <row r="9899" spans="1:2" x14ac:dyDescent="0.3">
      <c r="A9899" s="7" t="str">
        <f>HYPERLINK("http://www.eatonpowersource.com/products/details/02-331885","02-331885")</f>
        <v>02-331885</v>
      </c>
      <c r="B9899" s="8" t="s">
        <v>9823</v>
      </c>
    </row>
    <row r="9900" spans="1:2" x14ac:dyDescent="0.3">
      <c r="A9900" s="5" t="str">
        <f>HYPERLINK("http://www.eatonpowersource.com/products/details/02-332693","02-332693")</f>
        <v>02-332693</v>
      </c>
      <c r="B9900" s="6" t="s">
        <v>9824</v>
      </c>
    </row>
    <row r="9901" spans="1:2" x14ac:dyDescent="0.3">
      <c r="A9901" s="7" t="str">
        <f>HYPERLINK("http://www.eatonpowersource.com/products/details/02-332751","02-332751")</f>
        <v>02-332751</v>
      </c>
      <c r="B9901" s="8" t="s">
        <v>9825</v>
      </c>
    </row>
    <row r="9902" spans="1:2" x14ac:dyDescent="0.3">
      <c r="A9902" s="5" t="str">
        <f>HYPERLINK("http://www.eatonpowersource.com/products/details/02-333744","02-333744")</f>
        <v>02-333744</v>
      </c>
      <c r="B9902" s="6" t="s">
        <v>9826</v>
      </c>
    </row>
    <row r="9903" spans="1:2" x14ac:dyDescent="0.3">
      <c r="A9903" s="7" t="str">
        <f>HYPERLINK("http://www.eatonpowersource.com/products/details/02-334431","02-334431")</f>
        <v>02-334431</v>
      </c>
      <c r="B9903" s="8" t="s">
        <v>9827</v>
      </c>
    </row>
    <row r="9904" spans="1:2" x14ac:dyDescent="0.3">
      <c r="A9904" s="5" t="str">
        <f>HYPERLINK("http://www.eatonpowersource.com/products/details/02-334433","02-334433")</f>
        <v>02-334433</v>
      </c>
      <c r="B9904" s="6" t="s">
        <v>9828</v>
      </c>
    </row>
    <row r="9905" spans="1:2" x14ac:dyDescent="0.3">
      <c r="A9905" s="7" t="str">
        <f>HYPERLINK("http://www.eatonpowersource.com/products/details/02-334550","02-334550")</f>
        <v>02-334550</v>
      </c>
      <c r="B9905" s="8" t="s">
        <v>9829</v>
      </c>
    </row>
    <row r="9906" spans="1:2" x14ac:dyDescent="0.3">
      <c r="A9906" s="5" t="str">
        <f>HYPERLINK("http://www.eatonpowersource.com/products/details/02-334551","02-334551")</f>
        <v>02-334551</v>
      </c>
      <c r="B9906" s="6" t="s">
        <v>9830</v>
      </c>
    </row>
    <row r="9907" spans="1:2" x14ac:dyDescent="0.3">
      <c r="A9907" s="7" t="str">
        <f>HYPERLINK("http://www.eatonpowersource.com/products/details/02-334552","02-334552")</f>
        <v>02-334552</v>
      </c>
      <c r="B9907" s="8" t="s">
        <v>9831</v>
      </c>
    </row>
    <row r="9908" spans="1:2" x14ac:dyDescent="0.3">
      <c r="A9908" s="5" t="str">
        <f>HYPERLINK("http://www.eatonpowersource.com/products/details/02-334554","02-334554")</f>
        <v>02-334554</v>
      </c>
      <c r="B9908" s="6" t="s">
        <v>9832</v>
      </c>
    </row>
    <row r="9909" spans="1:2" x14ac:dyDescent="0.3">
      <c r="A9909" s="7" t="str">
        <f>HYPERLINK("http://www.eatonpowersource.com/products/details/02-334558","02-334558")</f>
        <v>02-334558</v>
      </c>
      <c r="B9909" s="8" t="s">
        <v>9833</v>
      </c>
    </row>
    <row r="9910" spans="1:2" x14ac:dyDescent="0.3">
      <c r="A9910" s="5" t="str">
        <f>HYPERLINK("http://www.eatonpowersource.com/products/details/02-334560","02-334560")</f>
        <v>02-334560</v>
      </c>
      <c r="B9910" s="6" t="s">
        <v>9834</v>
      </c>
    </row>
    <row r="9911" spans="1:2" x14ac:dyDescent="0.3">
      <c r="A9911" s="7" t="str">
        <f>HYPERLINK("http://www.eatonpowersource.com/products/details/02-334562","02-334562")</f>
        <v>02-334562</v>
      </c>
      <c r="B9911" s="8" t="s">
        <v>9835</v>
      </c>
    </row>
    <row r="9912" spans="1:2" x14ac:dyDescent="0.3">
      <c r="A9912" s="5" t="str">
        <f>HYPERLINK("http://www.eatonpowersource.com/products/details/02-334698","02-334698")</f>
        <v>02-334698</v>
      </c>
      <c r="B9912" s="6" t="s">
        <v>9836</v>
      </c>
    </row>
    <row r="9913" spans="1:2" x14ac:dyDescent="0.3">
      <c r="A9913" s="7" t="str">
        <f>HYPERLINK("http://www.eatonpowersource.com/products/details/02-334832","02-334832")</f>
        <v>02-334832</v>
      </c>
      <c r="B9913" s="8" t="s">
        <v>9837</v>
      </c>
    </row>
    <row r="9914" spans="1:2" x14ac:dyDescent="0.3">
      <c r="A9914" s="5" t="str">
        <f>HYPERLINK("http://www.eatonpowersource.com/products/details/02-334835","02-334835")</f>
        <v>02-334835</v>
      </c>
      <c r="B9914" s="6" t="s">
        <v>9838</v>
      </c>
    </row>
    <row r="9915" spans="1:2" x14ac:dyDescent="0.3">
      <c r="A9915" s="7" t="str">
        <f>HYPERLINK("http://www.eatonpowersource.com/products/details/02-334837","02-334837")</f>
        <v>02-334837</v>
      </c>
      <c r="B9915" s="8" t="s">
        <v>9839</v>
      </c>
    </row>
    <row r="9916" spans="1:2" x14ac:dyDescent="0.3">
      <c r="A9916" s="5" t="str">
        <f>HYPERLINK("http://www.eatonpowersource.com/products/details/02-334838","02-334838")</f>
        <v>02-334838</v>
      </c>
      <c r="B9916" s="6" t="s">
        <v>9840</v>
      </c>
    </row>
    <row r="9917" spans="1:2" x14ac:dyDescent="0.3">
      <c r="A9917" s="7" t="str">
        <f>HYPERLINK("http://www.eatonpowersource.com/products/details/02-335336","02-335336")</f>
        <v>02-335336</v>
      </c>
      <c r="B9917" s="8" t="s">
        <v>9841</v>
      </c>
    </row>
    <row r="9918" spans="1:2" x14ac:dyDescent="0.3">
      <c r="A9918" s="5" t="str">
        <f>HYPERLINK("http://www.eatonpowersource.com/products/details/02-336340","02-336340")</f>
        <v>02-336340</v>
      </c>
      <c r="B9918" s="6" t="s">
        <v>9842</v>
      </c>
    </row>
    <row r="9919" spans="1:2" x14ac:dyDescent="0.3">
      <c r="A9919" s="7" t="str">
        <f>HYPERLINK("http://www.eatonpowersource.com/products/details/02-336895","02-336895")</f>
        <v>02-336895</v>
      </c>
      <c r="B9919" s="8" t="s">
        <v>9843</v>
      </c>
    </row>
    <row r="9920" spans="1:2" x14ac:dyDescent="0.3">
      <c r="A9920" s="5" t="str">
        <f>HYPERLINK("http://www.eatonpowersource.com/products/details/02-337970","02-337970")</f>
        <v>02-337970</v>
      </c>
      <c r="B9920" s="6" t="s">
        <v>9844</v>
      </c>
    </row>
    <row r="9921" spans="1:2" x14ac:dyDescent="0.3">
      <c r="A9921" s="7" t="str">
        <f>HYPERLINK("http://www.eatonpowersource.com/products/details/02-339608","02-339608")</f>
        <v>02-339608</v>
      </c>
      <c r="B9921" s="8" t="s">
        <v>9845</v>
      </c>
    </row>
    <row r="9922" spans="1:2" x14ac:dyDescent="0.3">
      <c r="A9922" s="5" t="str">
        <f>HYPERLINK("http://www.eatonpowersource.com/products/details/02-339613","02-339613")</f>
        <v>02-339613</v>
      </c>
      <c r="B9922" s="6" t="s">
        <v>9846</v>
      </c>
    </row>
    <row r="9923" spans="1:2" x14ac:dyDescent="0.3">
      <c r="A9923" s="7" t="str">
        <f>HYPERLINK("http://www.eatonpowersource.com/products/details/02-340318","02-340318")</f>
        <v>02-340318</v>
      </c>
      <c r="B9923" s="8" t="s">
        <v>9847</v>
      </c>
    </row>
    <row r="9924" spans="1:2" x14ac:dyDescent="0.3">
      <c r="A9924" s="5" t="str">
        <f>HYPERLINK("http://www.eatonpowersource.com/products/details/02-345594","02-345594")</f>
        <v>02-345594</v>
      </c>
      <c r="B9924" s="6" t="s">
        <v>9848</v>
      </c>
    </row>
    <row r="9925" spans="1:2" x14ac:dyDescent="0.3">
      <c r="A9925" s="7" t="str">
        <f>HYPERLINK("http://www.eatonpowersource.com/products/details/02-345596","02-345596")</f>
        <v>02-345596</v>
      </c>
      <c r="B9925" s="8" t="s">
        <v>9849</v>
      </c>
    </row>
    <row r="9926" spans="1:2" x14ac:dyDescent="0.3">
      <c r="A9926" s="5" t="str">
        <f>HYPERLINK("http://www.eatonpowersource.com/products/details/02-345598","02-345598")</f>
        <v>02-345598</v>
      </c>
      <c r="B9926" s="6" t="s">
        <v>9850</v>
      </c>
    </row>
    <row r="9927" spans="1:2" x14ac:dyDescent="0.3">
      <c r="A9927" s="7" t="str">
        <f>HYPERLINK("http://www.eatonpowersource.com/products/details/02-345600","02-345600")</f>
        <v>02-345600</v>
      </c>
      <c r="B9927" s="8" t="s">
        <v>9851</v>
      </c>
    </row>
    <row r="9928" spans="1:2" x14ac:dyDescent="0.3">
      <c r="A9928" s="5" t="str">
        <f>HYPERLINK("http://www.eatonpowersource.com/products/details/02-345631","02-345631")</f>
        <v>02-345631</v>
      </c>
      <c r="B9928" s="6" t="s">
        <v>9852</v>
      </c>
    </row>
    <row r="9929" spans="1:2" x14ac:dyDescent="0.3">
      <c r="A9929" s="7" t="str">
        <f>HYPERLINK("http://www.eatonpowersource.com/products/details/02-346161","02-346161")</f>
        <v>02-346161</v>
      </c>
      <c r="B9929" s="8" t="s">
        <v>9853</v>
      </c>
    </row>
    <row r="9930" spans="1:2" x14ac:dyDescent="0.3">
      <c r="A9930" s="5" t="str">
        <f>HYPERLINK("http://www.eatonpowersource.com/products/details/02-346168","02-346168")</f>
        <v>02-346168</v>
      </c>
      <c r="B9930" s="6" t="s">
        <v>9854</v>
      </c>
    </row>
    <row r="9931" spans="1:2" x14ac:dyDescent="0.3">
      <c r="A9931" s="7" t="str">
        <f>HYPERLINK("http://www.eatonpowersource.com/products/details/02-346170","02-346170")</f>
        <v>02-346170</v>
      </c>
      <c r="B9931" s="8" t="s">
        <v>9855</v>
      </c>
    </row>
    <row r="9932" spans="1:2" x14ac:dyDescent="0.3">
      <c r="A9932" s="5" t="str">
        <f>HYPERLINK("http://www.eatonpowersource.com/products/details/02-346171","02-346171")</f>
        <v>02-346171</v>
      </c>
      <c r="B9932" s="6" t="s">
        <v>9856</v>
      </c>
    </row>
    <row r="9933" spans="1:2" x14ac:dyDescent="0.3">
      <c r="A9933" s="7" t="str">
        <f>HYPERLINK("http://www.eatonpowersource.com/products/details/02-346173","02-346173")</f>
        <v>02-346173</v>
      </c>
      <c r="B9933" s="8" t="s">
        <v>9857</v>
      </c>
    </row>
    <row r="9934" spans="1:2" x14ac:dyDescent="0.3">
      <c r="A9934" s="5" t="str">
        <f>HYPERLINK("http://www.eatonpowersource.com/products/details/02-346217","02-346217")</f>
        <v>02-346217</v>
      </c>
      <c r="B9934" s="6" t="s">
        <v>9858</v>
      </c>
    </row>
    <row r="9935" spans="1:2" x14ac:dyDescent="0.3">
      <c r="A9935" s="7" t="str">
        <f>HYPERLINK("http://www.eatonpowersource.com/products/details/02-346219","02-346219")</f>
        <v>02-346219</v>
      </c>
      <c r="B9935" s="8" t="s">
        <v>9859</v>
      </c>
    </row>
    <row r="9936" spans="1:2" x14ac:dyDescent="0.3">
      <c r="A9936" s="5" t="str">
        <f>HYPERLINK("http://www.eatonpowersource.com/products/details/02-346220","02-346220")</f>
        <v>02-346220</v>
      </c>
      <c r="B9936" s="6" t="s">
        <v>9860</v>
      </c>
    </row>
    <row r="9937" spans="1:2" x14ac:dyDescent="0.3">
      <c r="A9937" s="7" t="str">
        <f>HYPERLINK("http://www.eatonpowersource.com/products/details/02-346262","02-346262")</f>
        <v>02-346262</v>
      </c>
      <c r="B9937" s="8" t="s">
        <v>9861</v>
      </c>
    </row>
    <row r="9938" spans="1:2" x14ac:dyDescent="0.3">
      <c r="A9938" s="5" t="str">
        <f>HYPERLINK("http://www.eatonpowersource.com/products/details/02-346264","02-346264")</f>
        <v>02-346264</v>
      </c>
      <c r="B9938" s="6" t="s">
        <v>9862</v>
      </c>
    </row>
    <row r="9939" spans="1:2" x14ac:dyDescent="0.3">
      <c r="A9939" s="7" t="str">
        <f>HYPERLINK("http://www.eatonpowersource.com/products/details/02-346523","02-346523")</f>
        <v>02-346523</v>
      </c>
      <c r="B9939" s="8" t="s">
        <v>9863</v>
      </c>
    </row>
    <row r="9940" spans="1:2" x14ac:dyDescent="0.3">
      <c r="A9940" s="5" t="str">
        <f>HYPERLINK("http://www.eatonpowersource.com/products/details/02-347284","02-347284")</f>
        <v>02-347284</v>
      </c>
      <c r="B9940" s="6" t="s">
        <v>9864</v>
      </c>
    </row>
    <row r="9941" spans="1:2" x14ac:dyDescent="0.3">
      <c r="A9941" s="7" t="str">
        <f>HYPERLINK("http://www.eatonpowersource.com/products/details/02-347290","02-347290")</f>
        <v>02-347290</v>
      </c>
      <c r="B9941" s="8" t="s">
        <v>9865</v>
      </c>
    </row>
    <row r="9942" spans="1:2" x14ac:dyDescent="0.3">
      <c r="A9942" s="5" t="str">
        <f>HYPERLINK("http://www.eatonpowersource.com/products/details/02-347531","02-347531")</f>
        <v>02-347531</v>
      </c>
      <c r="B9942" s="6" t="s">
        <v>9866</v>
      </c>
    </row>
    <row r="9943" spans="1:2" x14ac:dyDescent="0.3">
      <c r="A9943" s="7" t="str">
        <f>HYPERLINK("http://www.eatonpowersource.com/products/details/02-347532","02-347532")</f>
        <v>02-347532</v>
      </c>
      <c r="B9943" s="8" t="s">
        <v>9867</v>
      </c>
    </row>
    <row r="9944" spans="1:2" x14ac:dyDescent="0.3">
      <c r="A9944" s="5" t="str">
        <f>HYPERLINK("http://www.eatonpowersource.com/products/details/02-347544","02-347544")</f>
        <v>02-347544</v>
      </c>
      <c r="B9944" s="6" t="s">
        <v>9868</v>
      </c>
    </row>
    <row r="9945" spans="1:2" x14ac:dyDescent="0.3">
      <c r="A9945" s="7" t="str">
        <f>HYPERLINK("http://www.eatonpowersource.com/products/details/02-348193","02-348193")</f>
        <v>02-348193</v>
      </c>
      <c r="B9945" s="8" t="s">
        <v>9869</v>
      </c>
    </row>
    <row r="9946" spans="1:2" x14ac:dyDescent="0.3">
      <c r="A9946" s="5" t="str">
        <f>HYPERLINK("http://www.eatonpowersource.com/products/details/02-348242","02-348242")</f>
        <v>02-348242</v>
      </c>
      <c r="B9946" s="6" t="s">
        <v>9870</v>
      </c>
    </row>
    <row r="9947" spans="1:2" x14ac:dyDescent="0.3">
      <c r="A9947" s="7" t="str">
        <f>HYPERLINK("http://www.eatonpowersource.com/products/details/02-348243","02-348243")</f>
        <v>02-348243</v>
      </c>
      <c r="B9947" s="8" t="s">
        <v>9871</v>
      </c>
    </row>
    <row r="9948" spans="1:2" x14ac:dyDescent="0.3">
      <c r="A9948" s="5" t="str">
        <f>HYPERLINK("http://www.eatonpowersource.com/products/details/02-348245","02-348245")</f>
        <v>02-348245</v>
      </c>
      <c r="B9948" s="6" t="s">
        <v>9872</v>
      </c>
    </row>
    <row r="9949" spans="1:2" x14ac:dyDescent="0.3">
      <c r="A9949" s="7" t="str">
        <f>HYPERLINK("http://www.eatonpowersource.com/products/details/02-348247","02-348247")</f>
        <v>02-348247</v>
      </c>
      <c r="B9949" s="8" t="s">
        <v>9873</v>
      </c>
    </row>
    <row r="9950" spans="1:2" x14ac:dyDescent="0.3">
      <c r="A9950" s="5" t="str">
        <f>HYPERLINK("http://www.eatonpowersource.com/products/details/02-348260","02-348260")</f>
        <v>02-348260</v>
      </c>
      <c r="B9950" s="6" t="s">
        <v>9874</v>
      </c>
    </row>
    <row r="9951" spans="1:2" x14ac:dyDescent="0.3">
      <c r="A9951" s="7" t="str">
        <f>HYPERLINK("http://www.eatonpowersource.com/products/details/02-348261","02-348261")</f>
        <v>02-348261</v>
      </c>
      <c r="B9951" s="8" t="s">
        <v>9875</v>
      </c>
    </row>
    <row r="9952" spans="1:2" x14ac:dyDescent="0.3">
      <c r="A9952" s="5" t="str">
        <f>HYPERLINK("http://www.eatonpowersource.com/products/details/02-348262","02-348262")</f>
        <v>02-348262</v>
      </c>
      <c r="B9952" s="6" t="s">
        <v>9876</v>
      </c>
    </row>
    <row r="9953" spans="1:2" x14ac:dyDescent="0.3">
      <c r="A9953" s="7" t="str">
        <f>HYPERLINK("http://www.eatonpowersource.com/products/details/02-348830","02-348830")</f>
        <v>02-348830</v>
      </c>
      <c r="B9953" s="8" t="s">
        <v>9877</v>
      </c>
    </row>
    <row r="9954" spans="1:2" x14ac:dyDescent="0.3">
      <c r="A9954" s="5" t="str">
        <f>HYPERLINK("http://www.eatonpowersource.com/products/details/02-348896","02-348896")</f>
        <v>02-348896</v>
      </c>
      <c r="B9954" s="6" t="s">
        <v>9878</v>
      </c>
    </row>
    <row r="9955" spans="1:2" x14ac:dyDescent="0.3">
      <c r="A9955" s="7" t="str">
        <f>HYPERLINK("http://www.eatonpowersource.com/products/details/02-350116","02-350116")</f>
        <v>02-350116</v>
      </c>
      <c r="B9955" s="8" t="s">
        <v>9879</v>
      </c>
    </row>
    <row r="9956" spans="1:2" x14ac:dyDescent="0.3">
      <c r="A9956" s="5" t="str">
        <f>HYPERLINK("http://www.eatonpowersource.com/products/details/02-350231","02-350231")</f>
        <v>02-350231</v>
      </c>
      <c r="B9956" s="6" t="s">
        <v>9880</v>
      </c>
    </row>
    <row r="9957" spans="1:2" x14ac:dyDescent="0.3">
      <c r="A9957" s="7" t="str">
        <f>HYPERLINK("http://www.eatonpowersource.com/products/details/02-350518","02-350518")</f>
        <v>02-350518</v>
      </c>
      <c r="B9957" s="8" t="s">
        <v>9881</v>
      </c>
    </row>
    <row r="9958" spans="1:2" x14ac:dyDescent="0.3">
      <c r="A9958" s="5" t="str">
        <f>HYPERLINK("http://www.eatonpowersource.com/products/details/02-350519","02-350519")</f>
        <v>02-350519</v>
      </c>
      <c r="B9958" s="6" t="s">
        <v>9882</v>
      </c>
    </row>
    <row r="9959" spans="1:2" x14ac:dyDescent="0.3">
      <c r="A9959" s="7" t="str">
        <f>HYPERLINK("http://www.eatonpowersource.com/products/details/02-351111","02-351111")</f>
        <v>02-351111</v>
      </c>
      <c r="B9959" s="8" t="s">
        <v>9883</v>
      </c>
    </row>
    <row r="9960" spans="1:2" x14ac:dyDescent="0.3">
      <c r="A9960" s="5" t="str">
        <f>HYPERLINK("http://www.eatonpowersource.com/products/details/02-352244","02-352244")</f>
        <v>02-352244</v>
      </c>
      <c r="B9960" s="6" t="s">
        <v>9884</v>
      </c>
    </row>
    <row r="9961" spans="1:2" x14ac:dyDescent="0.3">
      <c r="A9961" s="7" t="str">
        <f>HYPERLINK("http://www.eatonpowersource.com/products/details/02-352248","02-352248")</f>
        <v>02-352248</v>
      </c>
      <c r="B9961" s="8" t="s">
        <v>9885</v>
      </c>
    </row>
    <row r="9962" spans="1:2" x14ac:dyDescent="0.3">
      <c r="A9962" s="5" t="str">
        <f>HYPERLINK("http://www.eatonpowersource.com/products/details/02-352521","02-352521")</f>
        <v>02-352521</v>
      </c>
      <c r="B9962" s="6" t="s">
        <v>9886</v>
      </c>
    </row>
    <row r="9963" spans="1:2" x14ac:dyDescent="0.3">
      <c r="A9963" s="7" t="str">
        <f>HYPERLINK("http://www.eatonpowersource.com/products/details/02-353600","02-353600")</f>
        <v>02-353600</v>
      </c>
      <c r="B9963" s="8" t="s">
        <v>9887</v>
      </c>
    </row>
    <row r="9964" spans="1:2" x14ac:dyDescent="0.3">
      <c r="A9964" s="5" t="str">
        <f>HYPERLINK("http://www.eatonpowersource.com/products/details/02-353605","02-353605")</f>
        <v>02-353605</v>
      </c>
      <c r="B9964" s="6" t="s">
        <v>9888</v>
      </c>
    </row>
    <row r="9965" spans="1:2" x14ac:dyDescent="0.3">
      <c r="A9965" s="7" t="str">
        <f>HYPERLINK("http://www.eatonpowersource.com/products/details/02-355523","02-355523")</f>
        <v>02-355523</v>
      </c>
      <c r="B9965" s="8" t="s">
        <v>9889</v>
      </c>
    </row>
    <row r="9966" spans="1:2" x14ac:dyDescent="0.3">
      <c r="A9966" s="5" t="str">
        <f>HYPERLINK("http://www.eatonpowersource.com/products/details/02-358547","02-358547")</f>
        <v>02-358547</v>
      </c>
      <c r="B9966" s="6" t="s">
        <v>9890</v>
      </c>
    </row>
    <row r="9967" spans="1:2" x14ac:dyDescent="0.3">
      <c r="A9967" s="7" t="str">
        <f>HYPERLINK("http://www.eatonpowersource.com/products/details/02-358548","02-358548")</f>
        <v>02-358548</v>
      </c>
      <c r="B9967" s="8" t="s">
        <v>9891</v>
      </c>
    </row>
    <row r="9968" spans="1:2" x14ac:dyDescent="0.3">
      <c r="A9968" s="5" t="str">
        <f>HYPERLINK("http://www.eatonpowersource.com/products/details/02-358550","02-358550")</f>
        <v>02-358550</v>
      </c>
      <c r="B9968" s="6" t="s">
        <v>9892</v>
      </c>
    </row>
    <row r="9969" spans="1:2" x14ac:dyDescent="0.3">
      <c r="A9969" s="7" t="str">
        <f>HYPERLINK("http://www.eatonpowersource.com/products/details/02-358834","02-358834")</f>
        <v>02-358834</v>
      </c>
      <c r="B9969" s="8" t="s">
        <v>9893</v>
      </c>
    </row>
    <row r="9970" spans="1:2" x14ac:dyDescent="0.3">
      <c r="A9970" s="5" t="str">
        <f>HYPERLINK("http://www.eatonpowersource.com/products/details/02-358835","02-358835")</f>
        <v>02-358835</v>
      </c>
      <c r="B9970" s="6" t="s">
        <v>9894</v>
      </c>
    </row>
    <row r="9971" spans="1:2" x14ac:dyDescent="0.3">
      <c r="A9971" s="7" t="str">
        <f>HYPERLINK("http://www.eatonpowersource.com/products/details/02-358836","02-358836")</f>
        <v>02-358836</v>
      </c>
      <c r="B9971" s="8" t="s">
        <v>9895</v>
      </c>
    </row>
    <row r="9972" spans="1:2" x14ac:dyDescent="0.3">
      <c r="A9972" s="5" t="str">
        <f>HYPERLINK("http://www.eatonpowersource.com/products/details/02-358849","02-358849")</f>
        <v>02-358849</v>
      </c>
      <c r="B9972" s="6" t="s">
        <v>9896</v>
      </c>
    </row>
    <row r="9973" spans="1:2" x14ac:dyDescent="0.3">
      <c r="A9973" s="7" t="str">
        <f>HYPERLINK("http://www.eatonpowersource.com/products/details/02-358851","02-358851")</f>
        <v>02-358851</v>
      </c>
      <c r="B9973" s="8" t="s">
        <v>9897</v>
      </c>
    </row>
    <row r="9974" spans="1:2" x14ac:dyDescent="0.3">
      <c r="A9974" s="5" t="str">
        <f>HYPERLINK("http://www.eatonpowersource.com/products/details/02-359170","02-359170")</f>
        <v>02-359170</v>
      </c>
      <c r="B9974" s="6" t="s">
        <v>9898</v>
      </c>
    </row>
    <row r="9975" spans="1:2" x14ac:dyDescent="0.3">
      <c r="A9975" s="7" t="str">
        <f>HYPERLINK("http://www.eatonpowersource.com/products/details/02-362449","02-362449")</f>
        <v>02-362449</v>
      </c>
      <c r="B9975" s="8" t="s">
        <v>9899</v>
      </c>
    </row>
    <row r="9976" spans="1:2" x14ac:dyDescent="0.3">
      <c r="A9976" s="5" t="str">
        <f>HYPERLINK("http://www.eatonpowersource.com/products/details/02-363850","02-363850")</f>
        <v>02-363850</v>
      </c>
      <c r="B9976" s="6" t="s">
        <v>9900</v>
      </c>
    </row>
    <row r="9977" spans="1:2" x14ac:dyDescent="0.3">
      <c r="A9977" s="7" t="str">
        <f>HYPERLINK("http://www.eatonpowersource.com/products/details/02-365005","02-365005")</f>
        <v>02-365005</v>
      </c>
      <c r="B9977" s="8" t="s">
        <v>9901</v>
      </c>
    </row>
    <row r="9978" spans="1:2" x14ac:dyDescent="0.3">
      <c r="A9978" s="5" t="str">
        <f>HYPERLINK("http://www.eatonpowersource.com/products/details/02-365086","02-365086")</f>
        <v>02-365086</v>
      </c>
      <c r="B9978" s="6" t="s">
        <v>9902</v>
      </c>
    </row>
    <row r="9979" spans="1:2" x14ac:dyDescent="0.3">
      <c r="A9979" s="7" t="str">
        <f>HYPERLINK("http://www.eatonpowersource.com/products/details/02-365538","02-365538")</f>
        <v>02-365538</v>
      </c>
      <c r="B9979" s="8" t="s">
        <v>9903</v>
      </c>
    </row>
    <row r="9980" spans="1:2" x14ac:dyDescent="0.3">
      <c r="A9980" s="5" t="str">
        <f>HYPERLINK("http://www.eatonpowersource.com/products/details/02-365539","02-365539")</f>
        <v>02-365539</v>
      </c>
      <c r="B9980" s="6" t="s">
        <v>9904</v>
      </c>
    </row>
    <row r="9981" spans="1:2" x14ac:dyDescent="0.3">
      <c r="A9981" s="7" t="str">
        <f>HYPERLINK("http://www.eatonpowersource.com/products/details/02-365579","02-365579")</f>
        <v>02-365579</v>
      </c>
      <c r="B9981" s="8" t="s">
        <v>9905</v>
      </c>
    </row>
    <row r="9982" spans="1:2" x14ac:dyDescent="0.3">
      <c r="A9982" s="5" t="str">
        <f>HYPERLINK("http://www.eatonpowersource.com/products/details/02-365580","02-365580")</f>
        <v>02-365580</v>
      </c>
      <c r="B9982" s="6" t="s">
        <v>9906</v>
      </c>
    </row>
    <row r="9983" spans="1:2" x14ac:dyDescent="0.3">
      <c r="A9983" s="7" t="str">
        <f>HYPERLINK("http://www.eatonpowersource.com/products/details/02-365608","02-365608")</f>
        <v>02-365608</v>
      </c>
      <c r="B9983" s="8" t="s">
        <v>9907</v>
      </c>
    </row>
    <row r="9984" spans="1:2" x14ac:dyDescent="0.3">
      <c r="A9984" s="5" t="str">
        <f>HYPERLINK("http://www.eatonpowersource.com/products/details/02-365677","02-365677")</f>
        <v>02-365677</v>
      </c>
      <c r="B9984" s="6" t="s">
        <v>9908</v>
      </c>
    </row>
    <row r="9985" spans="1:2" x14ac:dyDescent="0.3">
      <c r="A9985" s="7" t="str">
        <f>HYPERLINK("http://www.eatonpowersource.com/products/details/02-365727","02-365727")</f>
        <v>02-365727</v>
      </c>
      <c r="B9985" s="8" t="s">
        <v>9909</v>
      </c>
    </row>
    <row r="9986" spans="1:2" x14ac:dyDescent="0.3">
      <c r="A9986" s="5" t="str">
        <f>HYPERLINK("http://www.eatonpowersource.com/products/details/02-365945","02-365945")</f>
        <v>02-365945</v>
      </c>
      <c r="B9986" s="6" t="s">
        <v>9910</v>
      </c>
    </row>
    <row r="9987" spans="1:2" x14ac:dyDescent="0.3">
      <c r="A9987" s="7" t="str">
        <f>HYPERLINK("http://www.eatonpowersource.com/products/details/02-393783","02-393783")</f>
        <v>02-393783</v>
      </c>
      <c r="B9987" s="8" t="s">
        <v>9911</v>
      </c>
    </row>
    <row r="9988" spans="1:2" x14ac:dyDescent="0.3">
      <c r="A9988" s="5" t="str">
        <f>HYPERLINK("http://www.eatonpowersource.com/products/details/02-393922","02-393922")</f>
        <v>02-393922</v>
      </c>
      <c r="B9988" s="6" t="s">
        <v>9912</v>
      </c>
    </row>
    <row r="9989" spans="1:2" x14ac:dyDescent="0.3">
      <c r="A9989" s="7" t="str">
        <f>HYPERLINK("http://www.eatonpowersource.com/products/details/02-396699","02-396699")</f>
        <v>02-396699</v>
      </c>
      <c r="B9989" s="8" t="s">
        <v>9913</v>
      </c>
    </row>
    <row r="9990" spans="1:2" x14ac:dyDescent="0.3">
      <c r="A9990" s="5" t="str">
        <f>HYPERLINK("http://www.eatonpowersource.com/products/details/02-397105","02-397105")</f>
        <v>02-397105</v>
      </c>
      <c r="B9990" s="6" t="s">
        <v>9914</v>
      </c>
    </row>
    <row r="9991" spans="1:2" x14ac:dyDescent="0.3">
      <c r="A9991" s="7" t="str">
        <f>HYPERLINK("http://www.eatonpowersource.com/products/details/02-400650","02-400650")</f>
        <v>02-400650</v>
      </c>
      <c r="B9991" s="8" t="s">
        <v>9915</v>
      </c>
    </row>
    <row r="9992" spans="1:2" x14ac:dyDescent="0.3">
      <c r="A9992" s="5" t="str">
        <f>HYPERLINK("http://www.eatonpowersource.com/products/details/02-411819","02-411819")</f>
        <v>02-411819</v>
      </c>
      <c r="B9992" s="6" t="s">
        <v>9916</v>
      </c>
    </row>
    <row r="9993" spans="1:2" x14ac:dyDescent="0.3">
      <c r="A9993" s="7" t="str">
        <f>HYPERLINK("http://www.eatonpowersource.com/products/details/02-412058","02-412058")</f>
        <v>02-412058</v>
      </c>
      <c r="B9993" s="8" t="s">
        <v>9917</v>
      </c>
    </row>
    <row r="9994" spans="1:2" x14ac:dyDescent="0.3">
      <c r="A9994" s="5" t="str">
        <f>HYPERLINK("http://www.eatonpowersource.com/products/details/02-412609","02-412609")</f>
        <v>02-412609</v>
      </c>
      <c r="B9994" s="6" t="s">
        <v>9918</v>
      </c>
    </row>
    <row r="9995" spans="1:2" x14ac:dyDescent="0.3">
      <c r="A9995" s="7" t="str">
        <f>HYPERLINK("http://www.eatonpowersource.com/products/details/02-413843","02-413843")</f>
        <v>02-413843</v>
      </c>
      <c r="B9995" s="8" t="s">
        <v>9919</v>
      </c>
    </row>
    <row r="9996" spans="1:2" x14ac:dyDescent="0.3">
      <c r="A9996" s="5" t="str">
        <f>HYPERLINK("http://www.eatonpowersource.com/products/details/02-414851","02-414851")</f>
        <v>02-414851</v>
      </c>
      <c r="B9996" s="6" t="s">
        <v>9920</v>
      </c>
    </row>
    <row r="9997" spans="1:2" x14ac:dyDescent="0.3">
      <c r="A9997" s="7" t="str">
        <f>HYPERLINK("http://www.eatonpowersource.com/products/details/02-414852","02-414852")</f>
        <v>02-414852</v>
      </c>
      <c r="B9997" s="8" t="s">
        <v>9921</v>
      </c>
    </row>
    <row r="9998" spans="1:2" x14ac:dyDescent="0.3">
      <c r="A9998" s="5" t="str">
        <f>HYPERLINK("http://www.eatonpowersource.com/products/details/02-414853","02-414853")</f>
        <v>02-414853</v>
      </c>
      <c r="B9998" s="6" t="s">
        <v>9922</v>
      </c>
    </row>
    <row r="9999" spans="1:2" x14ac:dyDescent="0.3">
      <c r="A9999" s="7" t="str">
        <f>HYPERLINK("http://www.eatonpowersource.com/products/details/02-414854","02-414854")</f>
        <v>02-414854</v>
      </c>
      <c r="B9999" s="8" t="s">
        <v>9923</v>
      </c>
    </row>
    <row r="10000" spans="1:2" x14ac:dyDescent="0.3">
      <c r="A10000" s="5" t="str">
        <f>HYPERLINK("http://www.eatonpowersource.com/products/details/02-414930","02-414930")</f>
        <v>02-414930</v>
      </c>
      <c r="B10000" s="6" t="s">
        <v>9924</v>
      </c>
    </row>
    <row r="10001" spans="1:2" x14ac:dyDescent="0.3">
      <c r="A10001" s="7" t="str">
        <f>HYPERLINK("http://www.eatonpowersource.com/products/details/02-420016","02-420016")</f>
        <v>02-420016</v>
      </c>
      <c r="B10001" s="8" t="s">
        <v>9925</v>
      </c>
    </row>
    <row r="10002" spans="1:2" x14ac:dyDescent="0.3">
      <c r="A10002" s="5" t="str">
        <f>HYPERLINK("http://www.eatonpowersource.com/products/details/02-420017","02-420017")</f>
        <v>02-420017</v>
      </c>
      <c r="B10002" s="6" t="s">
        <v>9925</v>
      </c>
    </row>
    <row r="10003" spans="1:2" x14ac:dyDescent="0.3">
      <c r="A10003" s="7" t="str">
        <f>HYPERLINK("http://www.eatonpowersource.com/products/details/02-420018","02-420018")</f>
        <v>02-420018</v>
      </c>
      <c r="B10003" s="8" t="s">
        <v>9925</v>
      </c>
    </row>
    <row r="10004" spans="1:2" x14ac:dyDescent="0.3">
      <c r="A10004" s="5" t="str">
        <f>HYPERLINK("http://www.eatonpowersource.com/products/details/02-420040","02-420040")</f>
        <v>02-420040</v>
      </c>
      <c r="B10004" s="6" t="s">
        <v>9926</v>
      </c>
    </row>
    <row r="10005" spans="1:2" x14ac:dyDescent="0.3">
      <c r="A10005" s="7" t="str">
        <f>HYPERLINK("http://www.eatonpowersource.com/products/details/02-420041","02-420041")</f>
        <v>02-420041</v>
      </c>
      <c r="B10005" s="8" t="s">
        <v>9927</v>
      </c>
    </row>
    <row r="10006" spans="1:2" x14ac:dyDescent="0.3">
      <c r="A10006" s="5" t="str">
        <f>HYPERLINK("http://www.eatonpowersource.com/products/details/02-420042","02-420042")</f>
        <v>02-420042</v>
      </c>
      <c r="B10006" s="6" t="s">
        <v>9928</v>
      </c>
    </row>
    <row r="10007" spans="1:2" x14ac:dyDescent="0.3">
      <c r="A10007" s="7" t="str">
        <f>HYPERLINK("http://www.eatonpowersource.com/products/details/02-420065","02-420065")</f>
        <v>02-420065</v>
      </c>
      <c r="B10007" s="8" t="s">
        <v>9929</v>
      </c>
    </row>
    <row r="10008" spans="1:2" x14ac:dyDescent="0.3">
      <c r="A10008" s="5" t="str">
        <f>HYPERLINK("http://www.eatonpowersource.com/products/details/02-420066","02-420066")</f>
        <v>02-420066</v>
      </c>
      <c r="B10008" s="6" t="s">
        <v>9930</v>
      </c>
    </row>
    <row r="10009" spans="1:2" x14ac:dyDescent="0.3">
      <c r="A10009" s="7" t="str">
        <f>HYPERLINK("http://www.eatonpowersource.com/products/details/02-420067","02-420067")</f>
        <v>02-420067</v>
      </c>
      <c r="B10009" s="8" t="s">
        <v>9931</v>
      </c>
    </row>
    <row r="10010" spans="1:2" x14ac:dyDescent="0.3">
      <c r="A10010" s="5" t="str">
        <f>HYPERLINK("http://www.eatonpowersource.com/products/details/02-420335","02-420335")</f>
        <v>02-420335</v>
      </c>
      <c r="B10010" s="6" t="s">
        <v>9932</v>
      </c>
    </row>
    <row r="10011" spans="1:2" x14ac:dyDescent="0.3">
      <c r="A10011" s="7" t="str">
        <f>HYPERLINK("http://www.eatonpowersource.com/products/details/02-420336","02-420336")</f>
        <v>02-420336</v>
      </c>
      <c r="B10011" s="8" t="s">
        <v>9933</v>
      </c>
    </row>
    <row r="10012" spans="1:2" x14ac:dyDescent="0.3">
      <c r="A10012" s="5" t="str">
        <f>HYPERLINK("http://www.eatonpowersource.com/products/details/02-420337","02-420337")</f>
        <v>02-420337</v>
      </c>
      <c r="B10012" s="6" t="s">
        <v>9934</v>
      </c>
    </row>
    <row r="10013" spans="1:2" x14ac:dyDescent="0.3">
      <c r="A10013" s="7" t="str">
        <f>HYPERLINK("http://www.eatonpowersource.com/products/details/02-420374","02-420374")</f>
        <v>02-420374</v>
      </c>
      <c r="B10013" s="8" t="s">
        <v>9935</v>
      </c>
    </row>
    <row r="10014" spans="1:2" x14ac:dyDescent="0.3">
      <c r="A10014" s="5" t="str">
        <f>HYPERLINK("http://www.eatonpowersource.com/products/details/02-420375","02-420375")</f>
        <v>02-420375</v>
      </c>
      <c r="B10014" s="6" t="s">
        <v>9936</v>
      </c>
    </row>
    <row r="10015" spans="1:2" x14ac:dyDescent="0.3">
      <c r="A10015" s="7" t="str">
        <f>HYPERLINK("http://www.eatonpowersource.com/products/details/02-420376","02-420376")</f>
        <v>02-420376</v>
      </c>
      <c r="B10015" s="8" t="s">
        <v>9937</v>
      </c>
    </row>
    <row r="10016" spans="1:2" x14ac:dyDescent="0.3">
      <c r="A10016" s="5" t="str">
        <f>HYPERLINK("http://www.eatonpowersource.com/products/details/02-420390","02-420390")</f>
        <v>02-420390</v>
      </c>
      <c r="B10016" s="6" t="s">
        <v>9938</v>
      </c>
    </row>
    <row r="10017" spans="1:2" x14ac:dyDescent="0.3">
      <c r="A10017" s="7" t="str">
        <f>HYPERLINK("http://www.eatonpowersource.com/products/details/02-420391","02-420391")</f>
        <v>02-420391</v>
      </c>
      <c r="B10017" s="8" t="s">
        <v>9939</v>
      </c>
    </row>
    <row r="10018" spans="1:2" x14ac:dyDescent="0.3">
      <c r="A10018" s="5" t="str">
        <f>HYPERLINK("http://www.eatonpowersource.com/products/details/02-420392","02-420392")</f>
        <v>02-420392</v>
      </c>
      <c r="B10018" s="6" t="s">
        <v>9940</v>
      </c>
    </row>
    <row r="10019" spans="1:2" x14ac:dyDescent="0.3">
      <c r="A10019" s="7" t="str">
        <f>HYPERLINK("http://www.eatonpowersource.com/products/details/02-420394","02-420394")</f>
        <v>02-420394</v>
      </c>
      <c r="B10019" s="8" t="s">
        <v>9941</v>
      </c>
    </row>
    <row r="10020" spans="1:2" x14ac:dyDescent="0.3">
      <c r="A10020" s="5" t="str">
        <f>HYPERLINK("http://www.eatonpowersource.com/products/details/02-420395","02-420395")</f>
        <v>02-420395</v>
      </c>
      <c r="B10020" s="6" t="s">
        <v>9942</v>
      </c>
    </row>
    <row r="10021" spans="1:2" x14ac:dyDescent="0.3">
      <c r="A10021" s="7" t="str">
        <f>HYPERLINK("http://www.eatonpowersource.com/products/details/02-420396","02-420396")</f>
        <v>02-420396</v>
      </c>
      <c r="B10021" s="8" t="s">
        <v>9943</v>
      </c>
    </row>
    <row r="10022" spans="1:2" x14ac:dyDescent="0.3">
      <c r="A10022" s="5" t="str">
        <f>HYPERLINK("http://www.eatonpowersource.com/products/details/02-420397","02-420397")</f>
        <v>02-420397</v>
      </c>
      <c r="B10022" s="6" t="s">
        <v>9944</v>
      </c>
    </row>
    <row r="10023" spans="1:2" x14ac:dyDescent="0.3">
      <c r="A10023" s="7" t="str">
        <f>HYPERLINK("http://www.eatonpowersource.com/products/details/02-420398","02-420398")</f>
        <v>02-420398</v>
      </c>
      <c r="B10023" s="8" t="s">
        <v>9945</v>
      </c>
    </row>
    <row r="10024" spans="1:2" x14ac:dyDescent="0.3">
      <c r="A10024" s="5" t="str">
        <f>HYPERLINK("http://www.eatonpowersource.com/products/details/02-420496","02-420496")</f>
        <v>02-420496</v>
      </c>
      <c r="B10024" s="6" t="s">
        <v>9946</v>
      </c>
    </row>
    <row r="10025" spans="1:2" x14ac:dyDescent="0.3">
      <c r="A10025" s="7" t="str">
        <f>HYPERLINK("http://www.eatonpowersource.com/products/details/02-420567","02-420567")</f>
        <v>02-420567</v>
      </c>
      <c r="B10025" s="8" t="s">
        <v>9947</v>
      </c>
    </row>
    <row r="10026" spans="1:2" x14ac:dyDescent="0.3">
      <c r="A10026" s="5" t="str">
        <f>HYPERLINK("http://www.eatonpowersource.com/products/details/02-420569","02-420569")</f>
        <v>02-420569</v>
      </c>
      <c r="B10026" s="6" t="s">
        <v>9948</v>
      </c>
    </row>
    <row r="10027" spans="1:2" x14ac:dyDescent="0.3">
      <c r="A10027" s="7" t="str">
        <f>HYPERLINK("http://www.eatonpowersource.com/products/details/02-420571","02-420571")</f>
        <v>02-420571</v>
      </c>
      <c r="B10027" s="8" t="s">
        <v>9949</v>
      </c>
    </row>
    <row r="10028" spans="1:2" x14ac:dyDescent="0.3">
      <c r="A10028" s="5" t="str">
        <f>HYPERLINK("http://www.eatonpowersource.com/products/details/02-420573","02-420573")</f>
        <v>02-420573</v>
      </c>
      <c r="B10028" s="6" t="s">
        <v>9950</v>
      </c>
    </row>
    <row r="10029" spans="1:2" x14ac:dyDescent="0.3">
      <c r="A10029" s="7" t="str">
        <f>HYPERLINK("http://www.eatonpowersource.com/products/details/02-420578","02-420578")</f>
        <v>02-420578</v>
      </c>
      <c r="B10029" s="8" t="s">
        <v>9951</v>
      </c>
    </row>
    <row r="10030" spans="1:2" x14ac:dyDescent="0.3">
      <c r="A10030" s="5" t="str">
        <f>HYPERLINK("http://www.eatonpowersource.com/products/details/02-420579","02-420579")</f>
        <v>02-420579</v>
      </c>
      <c r="B10030" s="6" t="s">
        <v>9952</v>
      </c>
    </row>
    <row r="10031" spans="1:2" x14ac:dyDescent="0.3">
      <c r="A10031" s="7" t="str">
        <f>HYPERLINK("http://www.eatonpowersource.com/products/details/02-420580","02-420580")</f>
        <v>02-420580</v>
      </c>
      <c r="B10031" s="8" t="s">
        <v>9953</v>
      </c>
    </row>
    <row r="10032" spans="1:2" x14ac:dyDescent="0.3">
      <c r="A10032" s="5" t="str">
        <f>HYPERLINK("http://www.eatonpowersource.com/products/details/02-420581","02-420581")</f>
        <v>02-420581</v>
      </c>
      <c r="B10032" s="6" t="s">
        <v>9954</v>
      </c>
    </row>
    <row r="10033" spans="1:2" x14ac:dyDescent="0.3">
      <c r="A10033" s="7" t="str">
        <f>HYPERLINK("http://www.eatonpowersource.com/products/details/02-420583","02-420583")</f>
        <v>02-420583</v>
      </c>
      <c r="B10033" s="8" t="s">
        <v>9955</v>
      </c>
    </row>
    <row r="10034" spans="1:2" x14ac:dyDescent="0.3">
      <c r="A10034" s="5" t="str">
        <f>HYPERLINK("http://www.eatonpowersource.com/products/details/02-420584","02-420584")</f>
        <v>02-420584</v>
      </c>
      <c r="B10034" s="6" t="s">
        <v>9956</v>
      </c>
    </row>
    <row r="10035" spans="1:2" x14ac:dyDescent="0.3">
      <c r="A10035" s="7" t="str">
        <f>HYPERLINK("http://www.eatonpowersource.com/products/details/02-420585","02-420585")</f>
        <v>02-420585</v>
      </c>
      <c r="B10035" s="8" t="s">
        <v>9957</v>
      </c>
    </row>
    <row r="10036" spans="1:2" x14ac:dyDescent="0.3">
      <c r="A10036" s="5" t="str">
        <f>HYPERLINK("http://www.eatonpowersource.com/products/details/02-420587","02-420587")</f>
        <v>02-420587</v>
      </c>
      <c r="B10036" s="6" t="s">
        <v>9958</v>
      </c>
    </row>
    <row r="10037" spans="1:2" x14ac:dyDescent="0.3">
      <c r="A10037" s="7" t="str">
        <f>HYPERLINK("http://www.eatonpowersource.com/products/details/02-466861","02-466861")</f>
        <v>02-466861</v>
      </c>
      <c r="B10037" s="8" t="s">
        <v>9959</v>
      </c>
    </row>
    <row r="10038" spans="1:2" x14ac:dyDescent="0.3">
      <c r="A10038" s="5" t="str">
        <f>HYPERLINK("http://www.eatonpowersource.com/products/details/025643","025643")</f>
        <v>025643</v>
      </c>
      <c r="B10038" s="6" t="s">
        <v>9653</v>
      </c>
    </row>
    <row r="10039" spans="1:2" x14ac:dyDescent="0.3">
      <c r="A10039" s="7" t="str">
        <f>HYPERLINK("http://www.eatonpowersource.com/products/details/025896","025896")</f>
        <v>025896</v>
      </c>
      <c r="B10039" s="8" t="s">
        <v>9653</v>
      </c>
    </row>
    <row r="10040" spans="1:2" x14ac:dyDescent="0.3">
      <c r="A10040" s="5" t="str">
        <f>HYPERLINK("http://www.eatonpowersource.com/products/details/028421","028421")</f>
        <v>028421</v>
      </c>
      <c r="B10040" s="6" t="s">
        <v>9653</v>
      </c>
    </row>
    <row r="10041" spans="1:2" x14ac:dyDescent="0.3">
      <c r="A10041" s="7" t="str">
        <f>HYPERLINK("http://www.eatonpowersource.com/products/details/028422","028422")</f>
        <v>028422</v>
      </c>
      <c r="B10041" s="8" t="s">
        <v>9653</v>
      </c>
    </row>
    <row r="10042" spans="1:2" x14ac:dyDescent="0.3">
      <c r="A10042" s="5" t="str">
        <f>HYPERLINK("http://www.eatonpowersource.com/products/details/028423","028423")</f>
        <v>028423</v>
      </c>
      <c r="B10042" s="6" t="s">
        <v>9653</v>
      </c>
    </row>
    <row r="10043" spans="1:2" x14ac:dyDescent="0.3">
      <c r="A10043" s="7" t="str">
        <f>HYPERLINK("http://www.eatonpowersource.com/products/details/028931","028931")</f>
        <v>028931</v>
      </c>
      <c r="B10043" s="8" t="s">
        <v>8630</v>
      </c>
    </row>
    <row r="10044" spans="1:2" x14ac:dyDescent="0.3">
      <c r="A10044" s="5" t="str">
        <f>HYPERLINK("http://www.eatonpowersource.com/products/details/029059","029059")</f>
        <v>029059</v>
      </c>
      <c r="B10044" s="6" t="s">
        <v>9653</v>
      </c>
    </row>
    <row r="10045" spans="1:2" x14ac:dyDescent="0.3">
      <c r="A10045" s="7" t="str">
        <f>HYPERLINK("http://www.eatonpowersource.com/products/details/032999","032999")</f>
        <v>032999</v>
      </c>
      <c r="B10045" s="8" t="s">
        <v>9653</v>
      </c>
    </row>
    <row r="10046" spans="1:2" x14ac:dyDescent="0.3">
      <c r="A10046" s="5" t="str">
        <f>HYPERLINK("http://www.eatonpowersource.com/products/details/035633","035633")</f>
        <v>035633</v>
      </c>
      <c r="B10046" s="6" t="s">
        <v>9960</v>
      </c>
    </row>
    <row r="10047" spans="1:2" x14ac:dyDescent="0.3">
      <c r="A10047" s="7" t="str">
        <f>HYPERLINK("http://www.eatonpowersource.com/products/details/036924","036924")</f>
        <v>036924</v>
      </c>
      <c r="B10047" s="8" t="s">
        <v>9960</v>
      </c>
    </row>
    <row r="10048" spans="1:2" x14ac:dyDescent="0.3">
      <c r="A10048" s="5" t="str">
        <f>HYPERLINK("http://www.eatonpowersource.com/products/details/038441","038441")</f>
        <v>038441</v>
      </c>
      <c r="B10048" s="6" t="s">
        <v>9651</v>
      </c>
    </row>
    <row r="10049" spans="1:2" x14ac:dyDescent="0.3">
      <c r="A10049" s="7" t="str">
        <f>HYPERLINK("http://www.eatonpowersource.com/products/details/039465","039465")</f>
        <v>039465</v>
      </c>
      <c r="B10049" s="8" t="s">
        <v>9961</v>
      </c>
    </row>
    <row r="10050" spans="1:2" x14ac:dyDescent="0.3">
      <c r="A10050" s="5" t="str">
        <f>HYPERLINK("http://www.eatonpowersource.com/products/details/039778","039778")</f>
        <v>039778</v>
      </c>
      <c r="B10050" s="6" t="s">
        <v>9653</v>
      </c>
    </row>
    <row r="10051" spans="1:2" x14ac:dyDescent="0.3">
      <c r="A10051" s="7" t="str">
        <f>HYPERLINK("http://www.eatonpowersource.com/products/details/042955","042955")</f>
        <v>042955</v>
      </c>
      <c r="B10051" s="8" t="s">
        <v>9645</v>
      </c>
    </row>
    <row r="10052" spans="1:2" x14ac:dyDescent="0.3">
      <c r="A10052" s="5" t="str">
        <f>HYPERLINK("http://www.eatonpowersource.com/products/details/051563","051563")</f>
        <v>051563</v>
      </c>
      <c r="B10052" s="6" t="s">
        <v>9962</v>
      </c>
    </row>
    <row r="10053" spans="1:2" x14ac:dyDescent="0.3">
      <c r="A10053" s="7" t="str">
        <f>HYPERLINK("http://www.eatonpowersource.com/products/details/056092","056092")</f>
        <v>056092</v>
      </c>
      <c r="B10053" s="8" t="s">
        <v>9644</v>
      </c>
    </row>
    <row r="10054" spans="1:2" x14ac:dyDescent="0.3">
      <c r="A10054" s="5" t="str">
        <f>HYPERLINK("http://www.eatonpowersource.com/products/details/058303","058303")</f>
        <v>058303</v>
      </c>
      <c r="B10054" s="6" t="s">
        <v>9648</v>
      </c>
    </row>
    <row r="10055" spans="1:2" x14ac:dyDescent="0.3">
      <c r="A10055" s="7" t="str">
        <f>HYPERLINK("http://www.eatonpowersource.com/products/details/082800","082800")</f>
        <v>082800</v>
      </c>
      <c r="B10055" s="8" t="s">
        <v>9963</v>
      </c>
    </row>
    <row r="10056" spans="1:2" x14ac:dyDescent="0.3">
      <c r="A10056" s="5" t="str">
        <f>HYPERLINK("http://www.eatonpowersource.com/products/details/082938","082938")</f>
        <v>082938</v>
      </c>
      <c r="B10056" s="6" t="s">
        <v>9650</v>
      </c>
    </row>
    <row r="10057" spans="1:2" x14ac:dyDescent="0.3">
      <c r="A10057" s="7" t="str">
        <f>HYPERLINK("http://www.eatonpowersource.com/products/details/088678","088678")</f>
        <v>088678</v>
      </c>
      <c r="B10057" s="8" t="s">
        <v>9656</v>
      </c>
    </row>
    <row r="10058" spans="1:2" x14ac:dyDescent="0.3">
      <c r="A10058" s="5" t="str">
        <f>HYPERLINK("http://www.eatonpowersource.com/products/details/098574","098574")</f>
        <v>098574</v>
      </c>
      <c r="B10058" s="6" t="s">
        <v>9650</v>
      </c>
    </row>
    <row r="10059" spans="1:2" x14ac:dyDescent="0.3">
      <c r="A10059" s="7" t="str">
        <f>HYPERLINK("http://www.eatonpowersource.com/products/details/098653","098653")</f>
        <v>098653</v>
      </c>
      <c r="B10059" s="8" t="s">
        <v>9964</v>
      </c>
    </row>
    <row r="10060" spans="1:2" x14ac:dyDescent="0.3">
      <c r="A10060" s="5" t="str">
        <f>HYPERLINK("http://www.eatonpowersource.com/products/details/101680-225","101680-225")</f>
        <v>101680-225</v>
      </c>
      <c r="B10060" s="6" t="s">
        <v>9965</v>
      </c>
    </row>
    <row r="10061" spans="1:2" x14ac:dyDescent="0.3">
      <c r="A10061" s="7" t="str">
        <f>HYPERLINK("http://www.eatonpowersource.com/products/details/102949","102949")</f>
        <v>102949</v>
      </c>
      <c r="B10061" s="8" t="s">
        <v>9966</v>
      </c>
    </row>
    <row r="10062" spans="1:2" x14ac:dyDescent="0.3">
      <c r="A10062" s="5" t="str">
        <f>HYPERLINK("http://www.eatonpowersource.com/products/details/104166-131","104166-131")</f>
        <v>104166-131</v>
      </c>
      <c r="B10062" s="6" t="s">
        <v>9967</v>
      </c>
    </row>
    <row r="10063" spans="1:2" x14ac:dyDescent="0.3">
      <c r="A10063" s="7" t="str">
        <f>HYPERLINK("http://www.eatonpowersource.com/products/details/104166-138","104166-138")</f>
        <v>104166-138</v>
      </c>
      <c r="B10063" s="8" t="s">
        <v>9968</v>
      </c>
    </row>
    <row r="10064" spans="1:2" x14ac:dyDescent="0.3">
      <c r="A10064" s="5" t="str">
        <f>HYPERLINK("http://www.eatonpowersource.com/products/details/105680","105680")</f>
        <v>105680</v>
      </c>
      <c r="B10064" s="6" t="s">
        <v>9657</v>
      </c>
    </row>
    <row r="10065" spans="1:2" x14ac:dyDescent="0.3">
      <c r="A10065" s="7" t="str">
        <f>HYPERLINK("http://www.eatonpowersource.com/products/details/108359","108359")</f>
        <v>108359</v>
      </c>
      <c r="B10065" s="8" t="s">
        <v>9603</v>
      </c>
    </row>
    <row r="10066" spans="1:2" x14ac:dyDescent="0.3">
      <c r="A10066" s="5" t="str">
        <f>HYPERLINK("http://www.eatonpowersource.com/products/details/108561","108561")</f>
        <v>108561</v>
      </c>
      <c r="B10066" s="6" t="s">
        <v>9645</v>
      </c>
    </row>
    <row r="10067" spans="1:2" x14ac:dyDescent="0.3">
      <c r="A10067" s="7" t="str">
        <f>HYPERLINK("http://www.eatonpowersource.com/products/details/113000","113000")</f>
        <v>113000</v>
      </c>
      <c r="B10067" s="8" t="s">
        <v>9969</v>
      </c>
    </row>
    <row r="10068" spans="1:2" x14ac:dyDescent="0.3">
      <c r="A10068" s="5" t="str">
        <f>HYPERLINK("http://www.eatonpowersource.com/products/details/113283-000","113283-000")</f>
        <v>113283-000</v>
      </c>
      <c r="B10068" s="6" t="s">
        <v>9970</v>
      </c>
    </row>
    <row r="10069" spans="1:2" x14ac:dyDescent="0.3">
      <c r="A10069" s="7" t="str">
        <f>HYPERLINK("http://www.eatonpowersource.com/products/details/114139","114139")</f>
        <v>114139</v>
      </c>
      <c r="B10069" s="8" t="s">
        <v>9653</v>
      </c>
    </row>
    <row r="10070" spans="1:2" x14ac:dyDescent="0.3">
      <c r="A10070" s="5" t="str">
        <f>HYPERLINK("http://www.eatonpowersource.com/products/details/114995-010","114995-010")</f>
        <v>114995-010</v>
      </c>
      <c r="B10070" s="6" t="s">
        <v>9971</v>
      </c>
    </row>
    <row r="10071" spans="1:2" x14ac:dyDescent="0.3">
      <c r="A10071" s="7" t="str">
        <f>HYPERLINK("http://www.eatonpowersource.com/products/details/114997-004","114997-004")</f>
        <v>114997-004</v>
      </c>
      <c r="B10071" s="8" t="s">
        <v>7724</v>
      </c>
    </row>
    <row r="10072" spans="1:2" x14ac:dyDescent="0.3">
      <c r="A10072" s="5" t="str">
        <f>HYPERLINK("http://www.eatonpowersource.com/products/details/115019-250","115019-250")</f>
        <v>115019-250</v>
      </c>
      <c r="B10072" s="6" t="s">
        <v>9972</v>
      </c>
    </row>
    <row r="10073" spans="1:2" x14ac:dyDescent="0.3">
      <c r="A10073" s="7" t="str">
        <f>HYPERLINK("http://www.eatonpowersource.com/products/details/115050-022","115050-022")</f>
        <v>115050-022</v>
      </c>
      <c r="B10073" s="8" t="s">
        <v>9973</v>
      </c>
    </row>
    <row r="10074" spans="1:2" x14ac:dyDescent="0.3">
      <c r="A10074" s="5" t="str">
        <f>HYPERLINK("http://www.eatonpowersource.com/products/details/115082-003","115082-003")</f>
        <v>115082-003</v>
      </c>
      <c r="B10074" s="6" t="s">
        <v>9974</v>
      </c>
    </row>
    <row r="10075" spans="1:2" x14ac:dyDescent="0.3">
      <c r="A10075" s="7" t="str">
        <f>HYPERLINK("http://www.eatonpowersource.com/products/details/117506","117506")</f>
        <v>117506</v>
      </c>
      <c r="B10075" s="8" t="s">
        <v>9975</v>
      </c>
    </row>
    <row r="10076" spans="1:2" x14ac:dyDescent="0.3">
      <c r="A10076" s="5" t="str">
        <f>HYPERLINK("http://www.eatonpowersource.com/products/details/117507","117507")</f>
        <v>117507</v>
      </c>
      <c r="B10076" s="6" t="s">
        <v>9976</v>
      </c>
    </row>
    <row r="10077" spans="1:2" x14ac:dyDescent="0.3">
      <c r="A10077" s="7" t="str">
        <f>HYPERLINK("http://www.eatonpowersource.com/products/details/117670","117670")</f>
        <v>117670</v>
      </c>
      <c r="B10077" s="8" t="s">
        <v>9962</v>
      </c>
    </row>
    <row r="10078" spans="1:2" x14ac:dyDescent="0.3">
      <c r="A10078" s="5" t="str">
        <f>HYPERLINK("http://www.eatonpowersource.com/products/details/117671","117671")</f>
        <v>117671</v>
      </c>
      <c r="B10078" s="6" t="s">
        <v>9657</v>
      </c>
    </row>
    <row r="10079" spans="1:2" x14ac:dyDescent="0.3">
      <c r="A10079" s="7" t="str">
        <f>HYPERLINK("http://www.eatonpowersource.com/products/details/119982","119982")</f>
        <v>119982</v>
      </c>
      <c r="B10079" s="8" t="s">
        <v>9977</v>
      </c>
    </row>
    <row r="10080" spans="1:2" x14ac:dyDescent="0.3">
      <c r="A10080" s="5" t="str">
        <f>HYPERLINK("http://www.eatonpowersource.com/products/details/120128","120128")</f>
        <v>120128</v>
      </c>
      <c r="B10080" s="6" t="s">
        <v>9966</v>
      </c>
    </row>
    <row r="10081" spans="1:2" x14ac:dyDescent="0.3">
      <c r="A10081" s="7" t="str">
        <f>HYPERLINK("http://www.eatonpowersource.com/products/details/123761","123761")</f>
        <v>123761</v>
      </c>
      <c r="B10081" s="8" t="s">
        <v>9978</v>
      </c>
    </row>
    <row r="10082" spans="1:2" x14ac:dyDescent="0.3">
      <c r="A10082" s="5" t="str">
        <f>HYPERLINK("http://www.eatonpowersource.com/products/details/124264","124264")</f>
        <v>124264</v>
      </c>
      <c r="B10082" s="6" t="s">
        <v>9979</v>
      </c>
    </row>
    <row r="10083" spans="1:2" x14ac:dyDescent="0.3">
      <c r="A10083" s="7" t="str">
        <f>HYPERLINK("http://www.eatonpowersource.com/products/details/124735","124735")</f>
        <v>124735</v>
      </c>
      <c r="B10083" s="8" t="s">
        <v>8630</v>
      </c>
    </row>
    <row r="10084" spans="1:2" x14ac:dyDescent="0.3">
      <c r="A10084" s="5" t="str">
        <f>HYPERLINK("http://www.eatonpowersource.com/products/details/127728","127728")</f>
        <v>127728</v>
      </c>
      <c r="B10084" s="6" t="s">
        <v>9980</v>
      </c>
    </row>
    <row r="10085" spans="1:2" x14ac:dyDescent="0.3">
      <c r="A10085" s="7" t="str">
        <f>HYPERLINK("http://www.eatonpowersource.com/products/details/128249","128249")</f>
        <v>128249</v>
      </c>
      <c r="B10085" s="8" t="s">
        <v>9981</v>
      </c>
    </row>
    <row r="10086" spans="1:2" x14ac:dyDescent="0.3">
      <c r="A10086" s="5" t="str">
        <f>HYPERLINK("http://www.eatonpowersource.com/products/details/130730","130730")</f>
        <v>130730</v>
      </c>
      <c r="B10086" s="6" t="s">
        <v>9644</v>
      </c>
    </row>
    <row r="10087" spans="1:2" x14ac:dyDescent="0.3">
      <c r="A10087" s="7" t="str">
        <f>HYPERLINK("http://www.eatonpowersource.com/products/details/130735","130735")</f>
        <v>130735</v>
      </c>
      <c r="B10087" s="8" t="s">
        <v>8630</v>
      </c>
    </row>
    <row r="10088" spans="1:2" x14ac:dyDescent="0.3">
      <c r="A10088" s="5" t="str">
        <f>HYPERLINK("http://www.eatonpowersource.com/products/details/131812","131812")</f>
        <v>131812</v>
      </c>
      <c r="B10088" s="6" t="s">
        <v>9650</v>
      </c>
    </row>
    <row r="10089" spans="1:2" x14ac:dyDescent="0.3">
      <c r="A10089" s="7" t="str">
        <f>HYPERLINK("http://www.eatonpowersource.com/products/details/134249","134249")</f>
        <v>134249</v>
      </c>
      <c r="B10089" s="8" t="s">
        <v>9645</v>
      </c>
    </row>
    <row r="10090" spans="1:2" x14ac:dyDescent="0.3">
      <c r="A10090" s="5" t="str">
        <f>HYPERLINK("http://www.eatonpowersource.com/products/details/135007","135007")</f>
        <v>135007</v>
      </c>
      <c r="B10090" s="6" t="s">
        <v>9653</v>
      </c>
    </row>
    <row r="10091" spans="1:2" x14ac:dyDescent="0.3">
      <c r="A10091" s="7" t="str">
        <f>HYPERLINK("http://www.eatonpowersource.com/products/details/138881","138881")</f>
        <v>138881</v>
      </c>
      <c r="B10091" s="8" t="s">
        <v>9982</v>
      </c>
    </row>
    <row r="10092" spans="1:2" x14ac:dyDescent="0.3">
      <c r="A10092" s="5" t="str">
        <f>HYPERLINK("http://www.eatonpowersource.com/products/details/140356","140356")</f>
        <v>140356</v>
      </c>
      <c r="B10092" s="6" t="s">
        <v>9983</v>
      </c>
    </row>
    <row r="10093" spans="1:2" x14ac:dyDescent="0.3">
      <c r="A10093" s="7" t="str">
        <f>HYPERLINK("http://www.eatonpowersource.com/products/details/148423","148423")</f>
        <v>148423</v>
      </c>
      <c r="B10093" s="8" t="s">
        <v>9650</v>
      </c>
    </row>
    <row r="10094" spans="1:2" x14ac:dyDescent="0.3">
      <c r="A10094" s="5" t="str">
        <f>HYPERLINK("http://www.eatonpowersource.com/products/details/152609","152609")</f>
        <v>152609</v>
      </c>
      <c r="B10094" s="6" t="s">
        <v>9653</v>
      </c>
    </row>
    <row r="10095" spans="1:2" x14ac:dyDescent="0.3">
      <c r="A10095" s="7" t="str">
        <f>HYPERLINK("http://www.eatonpowersource.com/products/details/152610","152610")</f>
        <v>152610</v>
      </c>
      <c r="B10095" s="8" t="s">
        <v>9653</v>
      </c>
    </row>
    <row r="10096" spans="1:2" x14ac:dyDescent="0.3">
      <c r="A10096" s="5" t="str">
        <f>HYPERLINK("http://www.eatonpowersource.com/products/details/155023","155023")</f>
        <v>155023</v>
      </c>
      <c r="B10096" s="6" t="s">
        <v>9984</v>
      </c>
    </row>
    <row r="10097" spans="1:2" x14ac:dyDescent="0.3">
      <c r="A10097" s="7" t="str">
        <f>HYPERLINK("http://www.eatonpowersource.com/products/details/158630","158630")</f>
        <v>158630</v>
      </c>
      <c r="B10097" s="8" t="s">
        <v>9985</v>
      </c>
    </row>
    <row r="10098" spans="1:2" x14ac:dyDescent="0.3">
      <c r="A10098" s="5" t="str">
        <f>HYPERLINK("http://www.eatonpowersource.com/products/details/16026-608","16026-608")</f>
        <v>16026-608</v>
      </c>
      <c r="B10098" s="6" t="s">
        <v>9986</v>
      </c>
    </row>
    <row r="10099" spans="1:2" x14ac:dyDescent="0.3">
      <c r="A10099" s="7" t="str">
        <f>HYPERLINK("http://www.eatonpowersource.com/products/details/16048-312","16048-312")</f>
        <v>16048-312</v>
      </c>
      <c r="B10099" s="8" t="s">
        <v>8630</v>
      </c>
    </row>
    <row r="10100" spans="1:2" x14ac:dyDescent="0.3">
      <c r="A10100" s="5" t="str">
        <f>HYPERLINK("http://www.eatonpowersource.com/products/details/160686","160686")</f>
        <v>160686</v>
      </c>
      <c r="B10100" s="6" t="s">
        <v>9966</v>
      </c>
    </row>
    <row r="10101" spans="1:2" x14ac:dyDescent="0.3">
      <c r="A10101" s="7" t="str">
        <f>HYPERLINK("http://www.eatonpowersource.com/products/details/16077-26","16077-26")</f>
        <v>16077-26</v>
      </c>
      <c r="B10101" s="8" t="s">
        <v>9987</v>
      </c>
    </row>
    <row r="10102" spans="1:2" x14ac:dyDescent="0.3">
      <c r="A10102" s="5" t="str">
        <f>HYPERLINK("http://www.eatonpowersource.com/products/details/162160","162160")</f>
        <v>162160</v>
      </c>
      <c r="B10102" s="6" t="s">
        <v>7724</v>
      </c>
    </row>
    <row r="10103" spans="1:2" x14ac:dyDescent="0.3">
      <c r="A10103" s="7" t="str">
        <f>HYPERLINK("http://www.eatonpowersource.com/products/details/166886","166886")</f>
        <v>166886</v>
      </c>
      <c r="B10103" s="8" t="s">
        <v>9646</v>
      </c>
    </row>
    <row r="10104" spans="1:2" x14ac:dyDescent="0.3">
      <c r="A10104" s="5" t="str">
        <f>HYPERLINK("http://www.eatonpowersource.com/products/details/167237","167237")</f>
        <v>167237</v>
      </c>
      <c r="B10104" s="6" t="s">
        <v>9988</v>
      </c>
    </row>
    <row r="10105" spans="1:2" x14ac:dyDescent="0.3">
      <c r="A10105" s="7" t="str">
        <f>HYPERLINK("http://www.eatonpowersource.com/products/details/17047-17","17047-17")</f>
        <v>17047-17</v>
      </c>
      <c r="B10105" s="8" t="s">
        <v>9653</v>
      </c>
    </row>
    <row r="10106" spans="1:2" x14ac:dyDescent="0.3">
      <c r="A10106" s="5" t="str">
        <f>HYPERLINK("http://www.eatonpowersource.com/products/details/175072","175072")</f>
        <v>175072</v>
      </c>
      <c r="B10106" s="6" t="s">
        <v>9653</v>
      </c>
    </row>
    <row r="10107" spans="1:2" x14ac:dyDescent="0.3">
      <c r="A10107" s="7" t="str">
        <f>HYPERLINK("http://www.eatonpowersource.com/products/details/184458","184458")</f>
        <v>184458</v>
      </c>
      <c r="B10107" s="8" t="s">
        <v>9653</v>
      </c>
    </row>
    <row r="10108" spans="1:2" x14ac:dyDescent="0.3">
      <c r="A10108" s="5" t="str">
        <f>HYPERLINK("http://www.eatonpowersource.com/products/details/185638","185638")</f>
        <v>185638</v>
      </c>
      <c r="B10108" s="6" t="s">
        <v>9989</v>
      </c>
    </row>
    <row r="10109" spans="1:2" x14ac:dyDescent="0.3">
      <c r="A10109" s="7" t="str">
        <f>HYPERLINK("http://www.eatonpowersource.com/products/details/188645","188645")</f>
        <v>188645</v>
      </c>
      <c r="B10109" s="8" t="s">
        <v>9990</v>
      </c>
    </row>
    <row r="10110" spans="1:2" x14ac:dyDescent="0.3">
      <c r="A10110" s="5" t="str">
        <f>HYPERLINK("http://www.eatonpowersource.com/products/details/190362","190362")</f>
        <v>190362</v>
      </c>
      <c r="B10110" s="6" t="s">
        <v>9991</v>
      </c>
    </row>
    <row r="10111" spans="1:2" x14ac:dyDescent="0.3">
      <c r="A10111" s="7" t="str">
        <f>HYPERLINK("http://www.eatonpowersource.com/products/details/191400","191400")</f>
        <v>191400</v>
      </c>
      <c r="B10111" s="8" t="s">
        <v>9985</v>
      </c>
    </row>
    <row r="10112" spans="1:2" x14ac:dyDescent="0.3">
      <c r="A10112" s="5" t="str">
        <f>HYPERLINK("http://www.eatonpowersource.com/products/details/193144","193144")</f>
        <v>193144</v>
      </c>
      <c r="B10112" s="6" t="s">
        <v>9966</v>
      </c>
    </row>
    <row r="10113" spans="1:2" x14ac:dyDescent="0.3">
      <c r="A10113" s="7" t="str">
        <f>HYPERLINK("http://www.eatonpowersource.com/products/details/193220","193220")</f>
        <v>193220</v>
      </c>
      <c r="B10113" s="8" t="s">
        <v>8630</v>
      </c>
    </row>
    <row r="10114" spans="1:2" x14ac:dyDescent="0.3">
      <c r="A10114" s="5" t="str">
        <f>HYPERLINK("http://www.eatonpowersource.com/products/details/194878","194878")</f>
        <v>194878</v>
      </c>
      <c r="B10114" s="6" t="s">
        <v>8630</v>
      </c>
    </row>
    <row r="10115" spans="1:2" x14ac:dyDescent="0.3">
      <c r="A10115" s="7" t="str">
        <f>HYPERLINK("http://www.eatonpowersource.com/products/details/195053","195053")</f>
        <v>195053</v>
      </c>
      <c r="B10115" s="8" t="s">
        <v>9992</v>
      </c>
    </row>
    <row r="10116" spans="1:2" x14ac:dyDescent="0.3">
      <c r="A10116" s="5" t="str">
        <f>HYPERLINK("http://www.eatonpowersource.com/products/details/197411","197411")</f>
        <v>197411</v>
      </c>
      <c r="B10116" s="6" t="s">
        <v>9993</v>
      </c>
    </row>
    <row r="10117" spans="1:2" x14ac:dyDescent="0.3">
      <c r="A10117" s="7" t="str">
        <f>HYPERLINK("http://www.eatonpowersource.com/products/details/197865","197865")</f>
        <v>197865</v>
      </c>
      <c r="B10117" s="8" t="s">
        <v>8630</v>
      </c>
    </row>
    <row r="10118" spans="1:2" x14ac:dyDescent="0.3">
      <c r="A10118" s="5" t="str">
        <f>HYPERLINK("http://www.eatonpowersource.com/products/details/199287","199287")</f>
        <v>199287</v>
      </c>
      <c r="B10118" s="6" t="s">
        <v>9644</v>
      </c>
    </row>
    <row r="10119" spans="1:2" x14ac:dyDescent="0.3">
      <c r="A10119" s="7" t="str">
        <f>HYPERLINK("http://www.eatonpowersource.com/products/details/200978","200978")</f>
        <v>200978</v>
      </c>
      <c r="B10119" s="8" t="s">
        <v>9653</v>
      </c>
    </row>
    <row r="10120" spans="1:2" x14ac:dyDescent="0.3">
      <c r="A10120" s="5" t="str">
        <f>HYPERLINK("http://www.eatonpowersource.com/products/details/205533","205533")</f>
        <v>205533</v>
      </c>
      <c r="B10120" s="6" t="s">
        <v>9994</v>
      </c>
    </row>
    <row r="10121" spans="1:2" x14ac:dyDescent="0.3">
      <c r="A10121" s="7" t="str">
        <f>HYPERLINK("http://www.eatonpowersource.com/products/details/207772","207772")</f>
        <v>207772</v>
      </c>
      <c r="B10121" s="8" t="s">
        <v>9995</v>
      </c>
    </row>
    <row r="10122" spans="1:2" x14ac:dyDescent="0.3">
      <c r="A10122" s="5" t="str">
        <f>HYPERLINK("http://www.eatonpowersource.com/products/details/207775","207775")</f>
        <v>207775</v>
      </c>
      <c r="B10122" s="6" t="s">
        <v>9996</v>
      </c>
    </row>
    <row r="10123" spans="1:2" x14ac:dyDescent="0.3">
      <c r="A10123" s="7" t="str">
        <f>HYPERLINK("http://www.eatonpowersource.com/products/details/211159","211159")</f>
        <v>211159</v>
      </c>
      <c r="B10123" s="8" t="s">
        <v>9997</v>
      </c>
    </row>
    <row r="10124" spans="1:2" x14ac:dyDescent="0.3">
      <c r="A10124" s="5" t="str">
        <f>HYPERLINK("http://www.eatonpowersource.com/products/details/213946","213946")</f>
        <v>213946</v>
      </c>
      <c r="B10124" s="6" t="s">
        <v>9998</v>
      </c>
    </row>
    <row r="10125" spans="1:2" x14ac:dyDescent="0.3">
      <c r="A10125" s="7" t="str">
        <f>HYPERLINK("http://www.eatonpowersource.com/products/details/213984","213984")</f>
        <v>213984</v>
      </c>
      <c r="B10125" s="8" t="s">
        <v>9999</v>
      </c>
    </row>
    <row r="10126" spans="1:2" x14ac:dyDescent="0.3">
      <c r="A10126" s="5" t="str">
        <f>HYPERLINK("http://www.eatonpowersource.com/products/details/216239","216239")</f>
        <v>216239</v>
      </c>
      <c r="B10126" s="6" t="s">
        <v>9962</v>
      </c>
    </row>
    <row r="10127" spans="1:2" x14ac:dyDescent="0.3">
      <c r="A10127" s="7" t="str">
        <f>HYPERLINK("http://www.eatonpowersource.com/products/details/217596","217596")</f>
        <v>217596</v>
      </c>
      <c r="B10127" s="8" t="s">
        <v>9656</v>
      </c>
    </row>
    <row r="10128" spans="1:2" x14ac:dyDescent="0.3">
      <c r="A10128" s="5" t="str">
        <f>HYPERLINK("http://www.eatonpowersource.com/products/details/219939","219939")</f>
        <v>219939</v>
      </c>
      <c r="B10128" s="6" t="s">
        <v>10000</v>
      </c>
    </row>
    <row r="10129" spans="1:2" x14ac:dyDescent="0.3">
      <c r="A10129" s="7" t="str">
        <f>HYPERLINK("http://www.eatonpowersource.com/products/details/224309","224309")</f>
        <v>224309</v>
      </c>
      <c r="B10129" s="8" t="s">
        <v>8987</v>
      </c>
    </row>
    <row r="10130" spans="1:2" x14ac:dyDescent="0.3">
      <c r="A10130" s="5" t="str">
        <f>HYPERLINK("http://www.eatonpowersource.com/products/details/224347","224347")</f>
        <v>224347</v>
      </c>
      <c r="B10130" s="6" t="s">
        <v>10001</v>
      </c>
    </row>
    <row r="10131" spans="1:2" x14ac:dyDescent="0.3">
      <c r="A10131" s="7" t="str">
        <f>HYPERLINK("http://www.eatonpowersource.com/products/details/224352","224352")</f>
        <v>224352</v>
      </c>
      <c r="B10131" s="8" t="s">
        <v>10002</v>
      </c>
    </row>
    <row r="10132" spans="1:2" x14ac:dyDescent="0.3">
      <c r="A10132" s="5" t="str">
        <f>HYPERLINK("http://www.eatonpowersource.com/products/details/224476","224476")</f>
        <v>224476</v>
      </c>
      <c r="B10132" s="6" t="s">
        <v>10003</v>
      </c>
    </row>
    <row r="10133" spans="1:2" x14ac:dyDescent="0.3">
      <c r="A10133" s="7" t="str">
        <f>HYPERLINK("http://www.eatonpowersource.com/products/details/226214","226214")</f>
        <v>226214</v>
      </c>
      <c r="B10133" s="8" t="s">
        <v>10004</v>
      </c>
    </row>
    <row r="10134" spans="1:2" x14ac:dyDescent="0.3">
      <c r="A10134" s="5" t="str">
        <f>HYPERLINK("http://www.eatonpowersource.com/products/details/230642","230642")</f>
        <v>230642</v>
      </c>
      <c r="B10134" s="6" t="s">
        <v>10005</v>
      </c>
    </row>
    <row r="10135" spans="1:2" x14ac:dyDescent="0.3">
      <c r="A10135" s="7" t="str">
        <f>HYPERLINK("http://www.eatonpowersource.com/products/details/231557","231557")</f>
        <v>231557</v>
      </c>
      <c r="B10135" s="8" t="s">
        <v>10006</v>
      </c>
    </row>
    <row r="10136" spans="1:2" x14ac:dyDescent="0.3">
      <c r="A10136" s="5" t="str">
        <f>HYPERLINK("http://www.eatonpowersource.com/products/details/232738","232738")</f>
        <v>232738</v>
      </c>
      <c r="B10136" s="6" t="s">
        <v>10001</v>
      </c>
    </row>
    <row r="10137" spans="1:2" x14ac:dyDescent="0.3">
      <c r="A10137" s="7" t="str">
        <f>HYPERLINK("http://www.eatonpowersource.com/products/details/232750","232750")</f>
        <v>232750</v>
      </c>
      <c r="B10137" s="8" t="s">
        <v>10007</v>
      </c>
    </row>
    <row r="10138" spans="1:2" x14ac:dyDescent="0.3">
      <c r="A10138" s="5" t="str">
        <f>HYPERLINK("http://www.eatonpowersource.com/products/details/232795","232795")</f>
        <v>232795</v>
      </c>
      <c r="B10138" s="6" t="s">
        <v>10008</v>
      </c>
    </row>
    <row r="10139" spans="1:2" x14ac:dyDescent="0.3">
      <c r="A10139" s="7" t="str">
        <f>HYPERLINK("http://www.eatonpowersource.com/products/details/232799","232799")</f>
        <v>232799</v>
      </c>
      <c r="B10139" s="8" t="s">
        <v>10009</v>
      </c>
    </row>
    <row r="10140" spans="1:2" x14ac:dyDescent="0.3">
      <c r="A10140" s="5" t="str">
        <f>HYPERLINK("http://www.eatonpowersource.com/products/details/233018","233018")</f>
        <v>233018</v>
      </c>
      <c r="B10140" s="6" t="s">
        <v>10010</v>
      </c>
    </row>
    <row r="10141" spans="1:2" x14ac:dyDescent="0.3">
      <c r="A10141" s="7" t="str">
        <f>HYPERLINK("http://www.eatonpowersource.com/products/details/233019","233019")</f>
        <v>233019</v>
      </c>
      <c r="B10141" s="8" t="s">
        <v>10011</v>
      </c>
    </row>
    <row r="10142" spans="1:2" x14ac:dyDescent="0.3">
      <c r="A10142" s="5" t="str">
        <f>HYPERLINK("http://www.eatonpowersource.com/products/details/233369","233369")</f>
        <v>233369</v>
      </c>
      <c r="B10142" s="6" t="s">
        <v>10012</v>
      </c>
    </row>
    <row r="10143" spans="1:2" x14ac:dyDescent="0.3">
      <c r="A10143" s="7" t="str">
        <f>HYPERLINK("http://www.eatonpowersource.com/products/details/233524","233524")</f>
        <v>233524</v>
      </c>
      <c r="B10143" s="8" t="s">
        <v>10013</v>
      </c>
    </row>
    <row r="10144" spans="1:2" x14ac:dyDescent="0.3">
      <c r="A10144" s="5" t="str">
        <f>HYPERLINK("http://www.eatonpowersource.com/products/details/233527","233527")</f>
        <v>233527</v>
      </c>
      <c r="B10144" s="6" t="s">
        <v>10014</v>
      </c>
    </row>
    <row r="10145" spans="1:2" x14ac:dyDescent="0.3">
      <c r="A10145" s="7" t="str">
        <f>HYPERLINK("http://www.eatonpowersource.com/products/details/233624","233624")</f>
        <v>233624</v>
      </c>
      <c r="B10145" s="8" t="s">
        <v>10012</v>
      </c>
    </row>
    <row r="10146" spans="1:2" x14ac:dyDescent="0.3">
      <c r="A10146" s="5" t="str">
        <f>HYPERLINK("http://www.eatonpowersource.com/products/details/234204","234204")</f>
        <v>234204</v>
      </c>
      <c r="B10146" s="6" t="s">
        <v>10015</v>
      </c>
    </row>
    <row r="10147" spans="1:2" x14ac:dyDescent="0.3">
      <c r="A10147" s="7" t="str">
        <f>HYPERLINK("http://www.eatonpowersource.com/products/details/234248","234248")</f>
        <v>234248</v>
      </c>
      <c r="B10147" s="8" t="s">
        <v>8987</v>
      </c>
    </row>
    <row r="10148" spans="1:2" x14ac:dyDescent="0.3">
      <c r="A10148" s="5" t="str">
        <f>HYPERLINK("http://www.eatonpowersource.com/products/details/236451","236451")</f>
        <v>236451</v>
      </c>
      <c r="B10148" s="6" t="s">
        <v>10016</v>
      </c>
    </row>
    <row r="10149" spans="1:2" x14ac:dyDescent="0.3">
      <c r="A10149" s="7" t="str">
        <f>HYPERLINK("http://www.eatonpowersource.com/products/details/237588","237588")</f>
        <v>237588</v>
      </c>
      <c r="B10149" s="8" t="s">
        <v>10017</v>
      </c>
    </row>
    <row r="10150" spans="1:2" x14ac:dyDescent="0.3">
      <c r="A10150" s="5" t="str">
        <f>HYPERLINK("http://www.eatonpowersource.com/products/details/237832","237832")</f>
        <v>237832</v>
      </c>
      <c r="B10150" s="6" t="s">
        <v>9985</v>
      </c>
    </row>
    <row r="10151" spans="1:2" x14ac:dyDescent="0.3">
      <c r="A10151" s="7" t="str">
        <f>HYPERLINK("http://www.eatonpowersource.com/products/details/238755","238755")</f>
        <v>238755</v>
      </c>
      <c r="B10151" s="8" t="s">
        <v>10012</v>
      </c>
    </row>
    <row r="10152" spans="1:2" x14ac:dyDescent="0.3">
      <c r="A10152" s="5" t="str">
        <f>HYPERLINK("http://www.eatonpowersource.com/products/details/239077","239077")</f>
        <v>239077</v>
      </c>
      <c r="B10152" s="6" t="s">
        <v>7097</v>
      </c>
    </row>
    <row r="10153" spans="1:2" x14ac:dyDescent="0.3">
      <c r="A10153" s="7" t="str">
        <f>HYPERLINK("http://www.eatonpowersource.com/products/details/239371","239371")</f>
        <v>239371</v>
      </c>
      <c r="B10153" s="8" t="s">
        <v>9653</v>
      </c>
    </row>
    <row r="10154" spans="1:2" x14ac:dyDescent="0.3">
      <c r="A10154" s="5" t="str">
        <f>HYPERLINK("http://www.eatonpowersource.com/products/details/239751","239751")</f>
        <v>239751</v>
      </c>
      <c r="B10154" s="6" t="s">
        <v>10018</v>
      </c>
    </row>
    <row r="10155" spans="1:2" x14ac:dyDescent="0.3">
      <c r="A10155" s="7" t="str">
        <f>HYPERLINK("http://www.eatonpowersource.com/products/details/241339","241339")</f>
        <v>241339</v>
      </c>
      <c r="B10155" s="8" t="s">
        <v>9653</v>
      </c>
    </row>
    <row r="10156" spans="1:2" x14ac:dyDescent="0.3">
      <c r="A10156" s="5" t="str">
        <f>HYPERLINK("http://www.eatonpowersource.com/products/details/241924","241924")</f>
        <v>241924</v>
      </c>
      <c r="B10156" s="6" t="s">
        <v>10019</v>
      </c>
    </row>
    <row r="10157" spans="1:2" x14ac:dyDescent="0.3">
      <c r="A10157" s="7" t="str">
        <f>HYPERLINK("http://www.eatonpowersource.com/products/details/242123","242123")</f>
        <v>242123</v>
      </c>
      <c r="B10157" s="8" t="s">
        <v>10020</v>
      </c>
    </row>
    <row r="10158" spans="1:2" x14ac:dyDescent="0.3">
      <c r="A10158" s="5" t="str">
        <f>HYPERLINK("http://www.eatonpowersource.com/products/details/242287","242287")</f>
        <v>242287</v>
      </c>
      <c r="B10158" s="6" t="s">
        <v>10021</v>
      </c>
    </row>
    <row r="10159" spans="1:2" x14ac:dyDescent="0.3">
      <c r="A10159" s="7" t="str">
        <f>HYPERLINK("http://www.eatonpowersource.com/products/details/242885","242885")</f>
        <v>242885</v>
      </c>
      <c r="B10159" s="8" t="s">
        <v>10022</v>
      </c>
    </row>
    <row r="10160" spans="1:2" x14ac:dyDescent="0.3">
      <c r="A10160" s="5" t="str">
        <f>HYPERLINK("http://www.eatonpowersource.com/products/details/243448","243448")</f>
        <v>243448</v>
      </c>
      <c r="B10160" s="6" t="s">
        <v>10012</v>
      </c>
    </row>
    <row r="10161" spans="1:2" x14ac:dyDescent="0.3">
      <c r="A10161" s="7" t="str">
        <f>HYPERLINK("http://www.eatonpowersource.com/products/details/243449","243449")</f>
        <v>243449</v>
      </c>
      <c r="B10161" s="8" t="s">
        <v>10022</v>
      </c>
    </row>
    <row r="10162" spans="1:2" x14ac:dyDescent="0.3">
      <c r="A10162" s="5" t="str">
        <f>HYPERLINK("http://www.eatonpowersource.com/products/details/246353","246353")</f>
        <v>246353</v>
      </c>
      <c r="B10162" s="6" t="s">
        <v>9648</v>
      </c>
    </row>
    <row r="10163" spans="1:2" x14ac:dyDescent="0.3">
      <c r="A10163" s="7" t="str">
        <f>HYPERLINK("http://www.eatonpowersource.com/products/details/246632","246632")</f>
        <v>246632</v>
      </c>
      <c r="B10163" s="8" t="s">
        <v>10023</v>
      </c>
    </row>
    <row r="10164" spans="1:2" x14ac:dyDescent="0.3">
      <c r="A10164" s="5" t="str">
        <f>HYPERLINK("http://www.eatonpowersource.com/products/details/248810","248810")</f>
        <v>248810</v>
      </c>
      <c r="B10164" s="6" t="s">
        <v>7724</v>
      </c>
    </row>
    <row r="10165" spans="1:2" x14ac:dyDescent="0.3">
      <c r="A10165" s="7" t="str">
        <f>HYPERLINK("http://www.eatonpowersource.com/products/details/248812","248812")</f>
        <v>248812</v>
      </c>
      <c r="B10165" s="8" t="s">
        <v>7724</v>
      </c>
    </row>
    <row r="10166" spans="1:2" x14ac:dyDescent="0.3">
      <c r="A10166" s="5" t="str">
        <f>HYPERLINK("http://www.eatonpowersource.com/products/details/251108","251108")</f>
        <v>251108</v>
      </c>
      <c r="B10166" s="6" t="s">
        <v>10024</v>
      </c>
    </row>
    <row r="10167" spans="1:2" x14ac:dyDescent="0.3">
      <c r="A10167" s="7" t="str">
        <f>HYPERLINK("http://www.eatonpowersource.com/products/details/252283","252283")</f>
        <v>252283</v>
      </c>
      <c r="B10167" s="8" t="s">
        <v>10025</v>
      </c>
    </row>
    <row r="10168" spans="1:2" x14ac:dyDescent="0.3">
      <c r="A10168" s="5" t="str">
        <f>HYPERLINK("http://www.eatonpowersource.com/products/details/254848","254848")</f>
        <v>254848</v>
      </c>
      <c r="B10168" s="6" t="s">
        <v>10022</v>
      </c>
    </row>
    <row r="10169" spans="1:2" x14ac:dyDescent="0.3">
      <c r="A10169" s="7" t="str">
        <f>HYPERLINK("http://www.eatonpowersource.com/products/details/254964","254964")</f>
        <v>254964</v>
      </c>
      <c r="B10169" s="8" t="s">
        <v>10012</v>
      </c>
    </row>
    <row r="10170" spans="1:2" x14ac:dyDescent="0.3">
      <c r="A10170" s="5" t="str">
        <f>HYPERLINK("http://www.eatonpowersource.com/products/details/255533","255533")</f>
        <v>255533</v>
      </c>
      <c r="B10170" s="6" t="s">
        <v>10013</v>
      </c>
    </row>
    <row r="10171" spans="1:2" x14ac:dyDescent="0.3">
      <c r="A10171" s="7" t="str">
        <f>HYPERLINK("http://www.eatonpowersource.com/products/details/255536","255536")</f>
        <v>255536</v>
      </c>
      <c r="B10171" s="8" t="s">
        <v>10026</v>
      </c>
    </row>
    <row r="10172" spans="1:2" x14ac:dyDescent="0.3">
      <c r="A10172" s="5" t="str">
        <f>HYPERLINK("http://www.eatonpowersource.com/products/details/255604","255604")</f>
        <v>255604</v>
      </c>
      <c r="B10172" s="6" t="s">
        <v>10027</v>
      </c>
    </row>
    <row r="10173" spans="1:2" x14ac:dyDescent="0.3">
      <c r="A10173" s="7" t="str">
        <f>HYPERLINK("http://www.eatonpowersource.com/products/details/255633","255633")</f>
        <v>255633</v>
      </c>
      <c r="B10173" s="8" t="s">
        <v>10028</v>
      </c>
    </row>
    <row r="10174" spans="1:2" x14ac:dyDescent="0.3">
      <c r="A10174" s="5" t="str">
        <f>HYPERLINK("http://www.eatonpowersource.com/products/details/255645","255645")</f>
        <v>255645</v>
      </c>
      <c r="B10174" s="6" t="s">
        <v>10029</v>
      </c>
    </row>
    <row r="10175" spans="1:2" x14ac:dyDescent="0.3">
      <c r="A10175" s="7" t="str">
        <f>HYPERLINK("http://www.eatonpowersource.com/products/details/255699","255699")</f>
        <v>255699</v>
      </c>
      <c r="B10175" s="8" t="s">
        <v>10030</v>
      </c>
    </row>
    <row r="10176" spans="1:2" x14ac:dyDescent="0.3">
      <c r="A10176" s="5" t="str">
        <f>HYPERLINK("http://www.eatonpowersource.com/products/details/258249","258249")</f>
        <v>258249</v>
      </c>
      <c r="B10176" s="6" t="s">
        <v>10012</v>
      </c>
    </row>
    <row r="10177" spans="1:2" x14ac:dyDescent="0.3">
      <c r="A10177" s="7" t="str">
        <f>HYPERLINK("http://www.eatonpowersource.com/products/details/258250","258250")</f>
        <v>258250</v>
      </c>
      <c r="B10177" s="8" t="s">
        <v>10031</v>
      </c>
    </row>
    <row r="10178" spans="1:2" x14ac:dyDescent="0.3">
      <c r="A10178" s="5" t="str">
        <f>HYPERLINK("http://www.eatonpowersource.com/products/details/265425","265425")</f>
        <v>265425</v>
      </c>
      <c r="B10178" s="6" t="s">
        <v>10032</v>
      </c>
    </row>
    <row r="10179" spans="1:2" x14ac:dyDescent="0.3">
      <c r="A10179" s="7" t="str">
        <f>HYPERLINK("http://www.eatonpowersource.com/products/details/265693","265693")</f>
        <v>265693</v>
      </c>
      <c r="B10179" s="8" t="s">
        <v>9653</v>
      </c>
    </row>
    <row r="10180" spans="1:2" x14ac:dyDescent="0.3">
      <c r="A10180" s="5" t="str">
        <f>HYPERLINK("http://www.eatonpowersource.com/products/details/266162","266162")</f>
        <v>266162</v>
      </c>
      <c r="B10180" s="6" t="s">
        <v>10033</v>
      </c>
    </row>
    <row r="10181" spans="1:2" x14ac:dyDescent="0.3">
      <c r="A10181" s="7" t="str">
        <f>HYPERLINK("http://www.eatonpowersource.com/products/details/270369","270369")</f>
        <v>270369</v>
      </c>
      <c r="B10181" s="8" t="s">
        <v>10033</v>
      </c>
    </row>
    <row r="10182" spans="1:2" x14ac:dyDescent="0.3">
      <c r="A10182" s="5" t="str">
        <f>HYPERLINK("http://www.eatonpowersource.com/products/details/271794","271794")</f>
        <v>271794</v>
      </c>
      <c r="B10182" s="6" t="s">
        <v>10034</v>
      </c>
    </row>
    <row r="10183" spans="1:2" x14ac:dyDescent="0.3">
      <c r="A10183" s="7" t="str">
        <f>HYPERLINK("http://www.eatonpowersource.com/products/details/271795","271795")</f>
        <v>271795</v>
      </c>
      <c r="B10183" s="8" t="s">
        <v>10035</v>
      </c>
    </row>
    <row r="10184" spans="1:2" x14ac:dyDescent="0.3">
      <c r="A10184" s="5" t="str">
        <f>HYPERLINK("http://www.eatonpowersource.com/products/details/274382","274382")</f>
        <v>274382</v>
      </c>
      <c r="B10184" s="6" t="s">
        <v>9991</v>
      </c>
    </row>
    <row r="10185" spans="1:2" x14ac:dyDescent="0.3">
      <c r="A10185" s="7" t="str">
        <f>HYPERLINK("http://www.eatonpowersource.com/products/details/275448","275448")</f>
        <v>275448</v>
      </c>
      <c r="B10185" s="8" t="s">
        <v>10036</v>
      </c>
    </row>
    <row r="10186" spans="1:2" x14ac:dyDescent="0.3">
      <c r="A10186" s="5" t="str">
        <f>HYPERLINK("http://www.eatonpowersource.com/products/details/277648","277648")</f>
        <v>277648</v>
      </c>
      <c r="B10186" s="6" t="s">
        <v>10035</v>
      </c>
    </row>
    <row r="10187" spans="1:2" x14ac:dyDescent="0.3">
      <c r="A10187" s="7" t="str">
        <f>HYPERLINK("http://www.eatonpowersource.com/products/details/278223","278223")</f>
        <v>278223</v>
      </c>
      <c r="B10187" s="8" t="s">
        <v>9653</v>
      </c>
    </row>
    <row r="10188" spans="1:2" x14ac:dyDescent="0.3">
      <c r="A10188" s="5" t="str">
        <f>HYPERLINK("http://www.eatonpowersource.com/products/details/278634","278634")</f>
        <v>278634</v>
      </c>
      <c r="B10188" s="6" t="s">
        <v>10037</v>
      </c>
    </row>
    <row r="10189" spans="1:2" x14ac:dyDescent="0.3">
      <c r="A10189" s="7" t="str">
        <f>HYPERLINK("http://www.eatonpowersource.com/products/details/279497","279497")</f>
        <v>279497</v>
      </c>
      <c r="B10189" s="8" t="s">
        <v>9653</v>
      </c>
    </row>
    <row r="10190" spans="1:2" x14ac:dyDescent="0.3">
      <c r="A10190" s="5" t="str">
        <f>HYPERLINK("http://www.eatonpowersource.com/products/details/280372","280372")</f>
        <v>280372</v>
      </c>
      <c r="B10190" s="6" t="s">
        <v>10012</v>
      </c>
    </row>
    <row r="10191" spans="1:2" x14ac:dyDescent="0.3">
      <c r="A10191" s="7" t="str">
        <f>HYPERLINK("http://www.eatonpowersource.com/products/details/280504","280504")</f>
        <v>280504</v>
      </c>
      <c r="B10191" s="8" t="s">
        <v>10038</v>
      </c>
    </row>
    <row r="10192" spans="1:2" x14ac:dyDescent="0.3">
      <c r="A10192" s="5" t="str">
        <f>HYPERLINK("http://www.eatonpowersource.com/products/details/280515","280515")</f>
        <v>280515</v>
      </c>
      <c r="B10192" s="6" t="s">
        <v>10039</v>
      </c>
    </row>
    <row r="10193" spans="1:2" x14ac:dyDescent="0.3">
      <c r="A10193" s="7" t="str">
        <f>HYPERLINK("http://www.eatonpowersource.com/products/details/281291","281291")</f>
        <v>281291</v>
      </c>
      <c r="B10193" s="8" t="s">
        <v>10040</v>
      </c>
    </row>
    <row r="10194" spans="1:2" x14ac:dyDescent="0.3">
      <c r="A10194" s="5" t="str">
        <f>HYPERLINK("http://www.eatonpowersource.com/products/details/283090","283090")</f>
        <v>283090</v>
      </c>
      <c r="B10194" s="6" t="s">
        <v>10041</v>
      </c>
    </row>
    <row r="10195" spans="1:2" x14ac:dyDescent="0.3">
      <c r="A10195" s="7" t="str">
        <f>HYPERLINK("http://www.eatonpowersource.com/products/details/284220","284220")</f>
        <v>284220</v>
      </c>
      <c r="B10195" s="8" t="s">
        <v>10042</v>
      </c>
    </row>
    <row r="10196" spans="1:2" x14ac:dyDescent="0.3">
      <c r="A10196" s="5" t="str">
        <f>HYPERLINK("http://www.eatonpowersource.com/products/details/284397","284397")</f>
        <v>284397</v>
      </c>
      <c r="B10196" s="6" t="s">
        <v>10041</v>
      </c>
    </row>
    <row r="10197" spans="1:2" x14ac:dyDescent="0.3">
      <c r="A10197" s="7" t="str">
        <f>HYPERLINK("http://www.eatonpowersource.com/products/details/286848","286848")</f>
        <v>286848</v>
      </c>
      <c r="B10197" s="8" t="s">
        <v>10043</v>
      </c>
    </row>
    <row r="10198" spans="1:2" x14ac:dyDescent="0.3">
      <c r="A10198" s="5" t="str">
        <f>HYPERLINK("http://www.eatonpowersource.com/products/details/289083","289083")</f>
        <v>289083</v>
      </c>
      <c r="B10198" s="6" t="s">
        <v>10012</v>
      </c>
    </row>
    <row r="10199" spans="1:2" x14ac:dyDescent="0.3">
      <c r="A10199" s="7" t="str">
        <f>HYPERLINK("http://www.eatonpowersource.com/products/details/289084","289084")</f>
        <v>289084</v>
      </c>
      <c r="B10199" s="8" t="s">
        <v>10044</v>
      </c>
    </row>
    <row r="10200" spans="1:2" x14ac:dyDescent="0.3">
      <c r="A10200" s="5" t="str">
        <f>HYPERLINK("http://www.eatonpowersource.com/products/details/290057","290057")</f>
        <v>290057</v>
      </c>
      <c r="B10200" s="6" t="s">
        <v>9962</v>
      </c>
    </row>
    <row r="10201" spans="1:2" x14ac:dyDescent="0.3">
      <c r="A10201" s="7" t="str">
        <f>HYPERLINK("http://www.eatonpowersource.com/products/details/290072","290072")</f>
        <v>290072</v>
      </c>
      <c r="B10201" s="8" t="s">
        <v>10045</v>
      </c>
    </row>
    <row r="10202" spans="1:2" x14ac:dyDescent="0.3">
      <c r="A10202" s="5" t="str">
        <f>HYPERLINK("http://www.eatonpowersource.com/products/details/292037","292037")</f>
        <v>292037</v>
      </c>
      <c r="B10202" s="6" t="s">
        <v>10046</v>
      </c>
    </row>
    <row r="10203" spans="1:2" x14ac:dyDescent="0.3">
      <c r="A10203" s="7" t="str">
        <f>HYPERLINK("http://www.eatonpowersource.com/products/details/292077","292077")</f>
        <v>292077</v>
      </c>
      <c r="B10203" s="8" t="s">
        <v>10047</v>
      </c>
    </row>
    <row r="10204" spans="1:2" x14ac:dyDescent="0.3">
      <c r="A10204" s="5" t="str">
        <f>HYPERLINK("http://www.eatonpowersource.com/products/details/292499","292499")</f>
        <v>292499</v>
      </c>
      <c r="B10204" s="6" t="s">
        <v>10041</v>
      </c>
    </row>
    <row r="10205" spans="1:2" x14ac:dyDescent="0.3">
      <c r="A10205" s="7" t="str">
        <f>HYPERLINK("http://www.eatonpowersource.com/products/details/294079","294079")</f>
        <v>294079</v>
      </c>
      <c r="B10205" s="8" t="s">
        <v>9653</v>
      </c>
    </row>
    <row r="10206" spans="1:2" x14ac:dyDescent="0.3">
      <c r="A10206" s="5" t="str">
        <f>HYPERLINK("http://www.eatonpowersource.com/products/details/294669","294669")</f>
        <v>294669</v>
      </c>
      <c r="B10206" s="6" t="s">
        <v>10036</v>
      </c>
    </row>
    <row r="10207" spans="1:2" x14ac:dyDescent="0.3">
      <c r="A10207" s="7" t="str">
        <f>HYPERLINK("http://www.eatonpowersource.com/products/details/294922","294922")</f>
        <v>294922</v>
      </c>
      <c r="B10207" s="8" t="s">
        <v>10048</v>
      </c>
    </row>
    <row r="10208" spans="1:2" x14ac:dyDescent="0.3">
      <c r="A10208" s="5" t="str">
        <f>HYPERLINK("http://www.eatonpowersource.com/products/details/295273","295273")</f>
        <v>295273</v>
      </c>
      <c r="B10208" s="6" t="s">
        <v>10049</v>
      </c>
    </row>
    <row r="10209" spans="1:2" x14ac:dyDescent="0.3">
      <c r="A10209" s="7" t="str">
        <f>HYPERLINK("http://www.eatonpowersource.com/products/details/298724","298724")</f>
        <v>298724</v>
      </c>
      <c r="B10209" s="8" t="s">
        <v>10050</v>
      </c>
    </row>
    <row r="10210" spans="1:2" x14ac:dyDescent="0.3">
      <c r="A10210" s="5" t="str">
        <f>HYPERLINK("http://www.eatonpowersource.com/products/details/3039694","3039694")</f>
        <v>3039694</v>
      </c>
      <c r="B10210" s="6" t="s">
        <v>10051</v>
      </c>
    </row>
    <row r="10211" spans="1:2" x14ac:dyDescent="0.3">
      <c r="A10211" s="7" t="str">
        <f>HYPERLINK("http://www.eatonpowersource.com/products/details/3039700","3039700")</f>
        <v>3039700</v>
      </c>
      <c r="B10211" s="8" t="s">
        <v>10052</v>
      </c>
    </row>
    <row r="10212" spans="1:2" x14ac:dyDescent="0.3">
      <c r="A10212" s="5" t="str">
        <f>HYPERLINK("http://www.eatonpowersource.com/products/details/307224","307224")</f>
        <v>307224</v>
      </c>
      <c r="B10212" s="6" t="s">
        <v>10053</v>
      </c>
    </row>
    <row r="10213" spans="1:2" x14ac:dyDescent="0.3">
      <c r="A10213" s="7" t="str">
        <f>HYPERLINK("http://www.eatonpowersource.com/products/details/308686","308686")</f>
        <v>308686</v>
      </c>
      <c r="B10213" s="8" t="s">
        <v>10054</v>
      </c>
    </row>
    <row r="10214" spans="1:2" x14ac:dyDescent="0.3">
      <c r="A10214" s="5" t="str">
        <f>HYPERLINK("http://www.eatonpowersource.com/products/details/308926","308926")</f>
        <v>308926</v>
      </c>
      <c r="B10214" s="6" t="s">
        <v>10022</v>
      </c>
    </row>
    <row r="10215" spans="1:2" x14ac:dyDescent="0.3">
      <c r="A10215" s="7" t="str">
        <f>HYPERLINK("http://www.eatonpowersource.com/products/details/309404","309404")</f>
        <v>309404</v>
      </c>
      <c r="B10215" s="8" t="s">
        <v>10012</v>
      </c>
    </row>
    <row r="10216" spans="1:2" x14ac:dyDescent="0.3">
      <c r="A10216" s="5" t="str">
        <f>HYPERLINK("http://www.eatonpowersource.com/products/details/309405","309405")</f>
        <v>309405</v>
      </c>
      <c r="B10216" s="6" t="s">
        <v>10021</v>
      </c>
    </row>
    <row r="10217" spans="1:2" x14ac:dyDescent="0.3">
      <c r="A10217" s="7" t="str">
        <f>HYPERLINK("http://www.eatonpowersource.com/products/details/309423","309423")</f>
        <v>309423</v>
      </c>
      <c r="B10217" s="8" t="s">
        <v>10055</v>
      </c>
    </row>
    <row r="10218" spans="1:2" x14ac:dyDescent="0.3">
      <c r="A10218" s="5" t="str">
        <f>HYPERLINK("http://www.eatonpowersource.com/products/details/310872","310872")</f>
        <v>310872</v>
      </c>
      <c r="B10218" s="6" t="s">
        <v>10012</v>
      </c>
    </row>
    <row r="10219" spans="1:2" x14ac:dyDescent="0.3">
      <c r="A10219" s="7" t="str">
        <f>HYPERLINK("http://www.eatonpowersource.com/products/details/311145","311145")</f>
        <v>311145</v>
      </c>
      <c r="B10219" s="8" t="s">
        <v>10056</v>
      </c>
    </row>
    <row r="10220" spans="1:2" x14ac:dyDescent="0.3">
      <c r="A10220" s="5" t="str">
        <f>HYPERLINK("http://www.eatonpowersource.com/products/details/311155","311155")</f>
        <v>311155</v>
      </c>
      <c r="B10220" s="6" t="s">
        <v>10057</v>
      </c>
    </row>
    <row r="10221" spans="1:2" x14ac:dyDescent="0.3">
      <c r="A10221" s="7" t="str">
        <f>HYPERLINK("http://www.eatonpowersource.com/products/details/312056","312056")</f>
        <v>312056</v>
      </c>
      <c r="B10221" s="8" t="s">
        <v>10056</v>
      </c>
    </row>
    <row r="10222" spans="1:2" x14ac:dyDescent="0.3">
      <c r="A10222" s="5" t="str">
        <f>HYPERLINK("http://www.eatonpowersource.com/products/details/312152","312152")</f>
        <v>312152</v>
      </c>
      <c r="B10222" s="6" t="s">
        <v>10056</v>
      </c>
    </row>
    <row r="10223" spans="1:2" x14ac:dyDescent="0.3">
      <c r="A10223" s="7" t="str">
        <f>HYPERLINK("http://www.eatonpowersource.com/products/details/312153","312153")</f>
        <v>312153</v>
      </c>
      <c r="B10223" s="8" t="s">
        <v>10012</v>
      </c>
    </row>
    <row r="10224" spans="1:2" x14ac:dyDescent="0.3">
      <c r="A10224" s="5" t="str">
        <f>HYPERLINK("http://www.eatonpowersource.com/products/details/312154","312154")</f>
        <v>312154</v>
      </c>
      <c r="B10224" s="6" t="s">
        <v>10058</v>
      </c>
    </row>
    <row r="10225" spans="1:2" x14ac:dyDescent="0.3">
      <c r="A10225" s="7" t="str">
        <f>HYPERLINK("http://www.eatonpowersource.com/products/details/314643","314643")</f>
        <v>314643</v>
      </c>
      <c r="B10225" s="8" t="s">
        <v>10059</v>
      </c>
    </row>
    <row r="10226" spans="1:2" x14ac:dyDescent="0.3">
      <c r="A10226" s="5" t="str">
        <f>HYPERLINK("http://www.eatonpowersource.com/products/details/316011","316011")</f>
        <v>316011</v>
      </c>
      <c r="B10226" s="6" t="s">
        <v>10060</v>
      </c>
    </row>
    <row r="10227" spans="1:2" x14ac:dyDescent="0.3">
      <c r="A10227" s="7" t="str">
        <f>HYPERLINK("http://www.eatonpowersource.com/products/details/316130","316130")</f>
        <v>316130</v>
      </c>
      <c r="B10227" s="8" t="s">
        <v>10061</v>
      </c>
    </row>
    <row r="10228" spans="1:2" x14ac:dyDescent="0.3">
      <c r="A10228" s="5" t="str">
        <f>HYPERLINK("http://www.eatonpowersource.com/products/details/317239","317239")</f>
        <v>317239</v>
      </c>
      <c r="B10228" s="6" t="s">
        <v>10062</v>
      </c>
    </row>
    <row r="10229" spans="1:2" x14ac:dyDescent="0.3">
      <c r="A10229" s="7" t="str">
        <f>HYPERLINK("http://www.eatonpowersource.com/products/details/317572","317572")</f>
        <v>317572</v>
      </c>
      <c r="B10229" s="8" t="s">
        <v>10036</v>
      </c>
    </row>
    <row r="10230" spans="1:2" x14ac:dyDescent="0.3">
      <c r="A10230" s="5" t="str">
        <f>HYPERLINK("http://www.eatonpowersource.com/products/details/317999","317999")</f>
        <v>317999</v>
      </c>
      <c r="B10230" s="6" t="s">
        <v>10063</v>
      </c>
    </row>
    <row r="10231" spans="1:2" x14ac:dyDescent="0.3">
      <c r="A10231" s="7" t="str">
        <f>HYPERLINK("http://www.eatonpowersource.com/products/details/318771","318771")</f>
        <v>318771</v>
      </c>
      <c r="B10231" s="8" t="s">
        <v>10064</v>
      </c>
    </row>
    <row r="10232" spans="1:2" x14ac:dyDescent="0.3">
      <c r="A10232" s="5" t="str">
        <f>HYPERLINK("http://www.eatonpowersource.com/products/details/319243","319243")</f>
        <v>319243</v>
      </c>
      <c r="B10232" s="6" t="s">
        <v>10065</v>
      </c>
    </row>
    <row r="10233" spans="1:2" x14ac:dyDescent="0.3">
      <c r="A10233" s="7" t="str">
        <f>HYPERLINK("http://www.eatonpowersource.com/products/details/319245","319245")</f>
        <v>319245</v>
      </c>
      <c r="B10233" s="8" t="s">
        <v>10066</v>
      </c>
    </row>
    <row r="10234" spans="1:2" x14ac:dyDescent="0.3">
      <c r="A10234" s="5" t="str">
        <f>HYPERLINK("http://www.eatonpowersource.com/products/details/319858","319858")</f>
        <v>319858</v>
      </c>
      <c r="B10234" s="6" t="s">
        <v>10067</v>
      </c>
    </row>
    <row r="10235" spans="1:2" x14ac:dyDescent="0.3">
      <c r="A10235" s="7" t="str">
        <f>HYPERLINK("http://www.eatonpowersource.com/products/details/319859","319859")</f>
        <v>319859</v>
      </c>
      <c r="B10235" s="8" t="s">
        <v>10068</v>
      </c>
    </row>
    <row r="10236" spans="1:2" x14ac:dyDescent="0.3">
      <c r="A10236" s="5" t="str">
        <f>HYPERLINK("http://www.eatonpowersource.com/products/details/320092","320092")</f>
        <v>320092</v>
      </c>
      <c r="B10236" s="6" t="s">
        <v>10069</v>
      </c>
    </row>
    <row r="10237" spans="1:2" x14ac:dyDescent="0.3">
      <c r="A10237" s="7" t="str">
        <f>HYPERLINK("http://www.eatonpowersource.com/products/details/320093","320093")</f>
        <v>320093</v>
      </c>
      <c r="B10237" s="8" t="s">
        <v>10070</v>
      </c>
    </row>
    <row r="10238" spans="1:2" x14ac:dyDescent="0.3">
      <c r="A10238" s="5" t="str">
        <f>HYPERLINK("http://www.eatonpowersource.com/products/details/321215","321215")</f>
        <v>321215</v>
      </c>
      <c r="B10238" s="6" t="s">
        <v>10071</v>
      </c>
    </row>
    <row r="10239" spans="1:2" x14ac:dyDescent="0.3">
      <c r="A10239" s="7" t="str">
        <f>HYPERLINK("http://www.eatonpowersource.com/products/details/322657","322657")</f>
        <v>322657</v>
      </c>
      <c r="B10239" s="8" t="s">
        <v>9653</v>
      </c>
    </row>
    <row r="10240" spans="1:2" x14ac:dyDescent="0.3">
      <c r="A10240" s="5" t="str">
        <f>HYPERLINK("http://www.eatonpowersource.com/products/details/328096","328096")</f>
        <v>328096</v>
      </c>
      <c r="B10240" s="6" t="s">
        <v>10072</v>
      </c>
    </row>
    <row r="10241" spans="1:2" x14ac:dyDescent="0.3">
      <c r="A10241" s="7" t="str">
        <f>HYPERLINK("http://www.eatonpowersource.com/products/details/330329","330329")</f>
        <v>330329</v>
      </c>
      <c r="B10241" s="8" t="s">
        <v>10033</v>
      </c>
    </row>
    <row r="10242" spans="1:2" x14ac:dyDescent="0.3">
      <c r="A10242" s="5" t="str">
        <f>HYPERLINK("http://www.eatonpowersource.com/products/details/340323","340323")</f>
        <v>340323</v>
      </c>
      <c r="B10242" s="6" t="s">
        <v>10073</v>
      </c>
    </row>
    <row r="10243" spans="1:2" x14ac:dyDescent="0.3">
      <c r="A10243" s="7" t="str">
        <f>HYPERLINK("http://www.eatonpowersource.com/products/details/341612","341612")</f>
        <v>341612</v>
      </c>
      <c r="B10243" s="8" t="s">
        <v>9653</v>
      </c>
    </row>
    <row r="10244" spans="1:2" x14ac:dyDescent="0.3">
      <c r="A10244" s="5" t="str">
        <f>HYPERLINK("http://www.eatonpowersource.com/products/details/342244","342244")</f>
        <v>342244</v>
      </c>
      <c r="B10244" s="6" t="s">
        <v>9653</v>
      </c>
    </row>
    <row r="10245" spans="1:2" x14ac:dyDescent="0.3">
      <c r="A10245" s="7" t="str">
        <f>HYPERLINK("http://www.eatonpowersource.com/products/details/342743","342743")</f>
        <v>342743</v>
      </c>
      <c r="B10245" s="8" t="s">
        <v>10074</v>
      </c>
    </row>
    <row r="10246" spans="1:2" x14ac:dyDescent="0.3">
      <c r="A10246" s="5" t="str">
        <f>HYPERLINK("http://www.eatonpowersource.com/products/details/343154","343154")</f>
        <v>343154</v>
      </c>
      <c r="B10246" s="6" t="s">
        <v>9962</v>
      </c>
    </row>
    <row r="10247" spans="1:2" x14ac:dyDescent="0.3">
      <c r="A10247" s="7" t="str">
        <f>HYPERLINK("http://www.eatonpowersource.com/products/details/343746","343746")</f>
        <v>343746</v>
      </c>
      <c r="B10247" s="8" t="s">
        <v>9653</v>
      </c>
    </row>
    <row r="10248" spans="1:2" x14ac:dyDescent="0.3">
      <c r="A10248" s="5" t="str">
        <f>HYPERLINK("http://www.eatonpowersource.com/products/details/343747","343747")</f>
        <v>343747</v>
      </c>
      <c r="B10248" s="6" t="s">
        <v>9653</v>
      </c>
    </row>
    <row r="10249" spans="1:2" x14ac:dyDescent="0.3">
      <c r="A10249" s="7" t="str">
        <f>HYPERLINK("http://www.eatonpowersource.com/products/details/345262","345262")</f>
        <v>345262</v>
      </c>
      <c r="B10249" s="8" t="s">
        <v>9653</v>
      </c>
    </row>
    <row r="10250" spans="1:2" x14ac:dyDescent="0.3">
      <c r="A10250" s="5" t="str">
        <f>HYPERLINK("http://www.eatonpowersource.com/products/details/346344","346344")</f>
        <v>346344</v>
      </c>
      <c r="B10250" s="6" t="s">
        <v>10075</v>
      </c>
    </row>
    <row r="10251" spans="1:2" x14ac:dyDescent="0.3">
      <c r="A10251" s="7" t="str">
        <f>HYPERLINK("http://www.eatonpowersource.com/products/details/348615","348615")</f>
        <v>348615</v>
      </c>
      <c r="B10251" s="8" t="s">
        <v>9653</v>
      </c>
    </row>
    <row r="10252" spans="1:2" x14ac:dyDescent="0.3">
      <c r="A10252" s="5" t="str">
        <f>HYPERLINK("http://www.eatonpowersource.com/products/details/351249","351249")</f>
        <v>351249</v>
      </c>
      <c r="B10252" s="6" t="s">
        <v>10013</v>
      </c>
    </row>
    <row r="10253" spans="1:2" x14ac:dyDescent="0.3">
      <c r="A10253" s="7" t="str">
        <f>HYPERLINK("http://www.eatonpowersource.com/products/details/353230","353230")</f>
        <v>353230</v>
      </c>
      <c r="B10253" s="8" t="s">
        <v>10076</v>
      </c>
    </row>
    <row r="10254" spans="1:2" x14ac:dyDescent="0.3">
      <c r="A10254" s="5" t="str">
        <f>HYPERLINK("http://www.eatonpowersource.com/products/details/354636","354636")</f>
        <v>354636</v>
      </c>
      <c r="B10254" s="6" t="s">
        <v>9653</v>
      </c>
    </row>
    <row r="10255" spans="1:2" x14ac:dyDescent="0.3">
      <c r="A10255" s="7" t="str">
        <f>HYPERLINK("http://www.eatonpowersource.com/products/details/354927","354927")</f>
        <v>354927</v>
      </c>
      <c r="B10255" s="8" t="s">
        <v>10077</v>
      </c>
    </row>
    <row r="10256" spans="1:2" x14ac:dyDescent="0.3">
      <c r="A10256" s="5" t="str">
        <f>HYPERLINK("http://www.eatonpowersource.com/products/details/356986","356986")</f>
        <v>356986</v>
      </c>
      <c r="B10256" s="6" t="s">
        <v>10078</v>
      </c>
    </row>
    <row r="10257" spans="1:2" x14ac:dyDescent="0.3">
      <c r="A10257" s="7" t="str">
        <f>HYPERLINK("http://www.eatonpowersource.com/products/details/357424","357424")</f>
        <v>357424</v>
      </c>
      <c r="B10257" s="8" t="s">
        <v>10079</v>
      </c>
    </row>
    <row r="10258" spans="1:2" x14ac:dyDescent="0.3">
      <c r="A10258" s="5" t="str">
        <f>HYPERLINK("http://www.eatonpowersource.com/products/details/359287","359287")</f>
        <v>359287</v>
      </c>
      <c r="B10258" s="6" t="s">
        <v>10080</v>
      </c>
    </row>
    <row r="10259" spans="1:2" x14ac:dyDescent="0.3">
      <c r="A10259" s="7" t="str">
        <f>HYPERLINK("http://www.eatonpowersource.com/products/details/361760","361760")</f>
        <v>361760</v>
      </c>
      <c r="B10259" s="8" t="s">
        <v>10081</v>
      </c>
    </row>
    <row r="10260" spans="1:2" x14ac:dyDescent="0.3">
      <c r="A10260" s="5" t="str">
        <f>HYPERLINK("http://www.eatonpowersource.com/products/details/361761","361761")</f>
        <v>361761</v>
      </c>
      <c r="B10260" s="6" t="s">
        <v>10081</v>
      </c>
    </row>
    <row r="10261" spans="1:2" x14ac:dyDescent="0.3">
      <c r="A10261" s="7" t="str">
        <f>HYPERLINK("http://www.eatonpowersource.com/products/details/361762","361762")</f>
        <v>361762</v>
      </c>
      <c r="B10261" s="8" t="s">
        <v>10081</v>
      </c>
    </row>
    <row r="10262" spans="1:2" x14ac:dyDescent="0.3">
      <c r="A10262" s="5" t="str">
        <f>HYPERLINK("http://www.eatonpowersource.com/products/details/361763","361763")</f>
        <v>361763</v>
      </c>
      <c r="B10262" s="6" t="s">
        <v>10082</v>
      </c>
    </row>
    <row r="10263" spans="1:2" x14ac:dyDescent="0.3">
      <c r="A10263" s="7" t="str">
        <f>HYPERLINK("http://www.eatonpowersource.com/products/details/362135","362135")</f>
        <v>362135</v>
      </c>
      <c r="B10263" s="8" t="s">
        <v>10083</v>
      </c>
    </row>
    <row r="10264" spans="1:2" x14ac:dyDescent="0.3">
      <c r="A10264" s="5" t="str">
        <f>HYPERLINK("http://www.eatonpowersource.com/products/details/363889","363889")</f>
        <v>363889</v>
      </c>
      <c r="B10264" s="6" t="s">
        <v>9960</v>
      </c>
    </row>
    <row r="10265" spans="1:2" x14ac:dyDescent="0.3">
      <c r="A10265" s="7" t="str">
        <f>HYPERLINK("http://www.eatonpowersource.com/products/details/370084","370084")</f>
        <v>370084</v>
      </c>
      <c r="B10265" s="8" t="s">
        <v>8630</v>
      </c>
    </row>
    <row r="10266" spans="1:2" x14ac:dyDescent="0.3">
      <c r="A10266" s="5" t="str">
        <f>HYPERLINK("http://www.eatonpowersource.com/products/details/373795","373795")</f>
        <v>373795</v>
      </c>
      <c r="B10266" s="6" t="s">
        <v>10084</v>
      </c>
    </row>
    <row r="10267" spans="1:2" x14ac:dyDescent="0.3">
      <c r="A10267" s="7" t="str">
        <f>HYPERLINK("http://www.eatonpowersource.com/products/details/374338","374338")</f>
        <v>374338</v>
      </c>
      <c r="B10267" s="8" t="s">
        <v>10013</v>
      </c>
    </row>
    <row r="10268" spans="1:2" x14ac:dyDescent="0.3">
      <c r="A10268" s="5" t="str">
        <f>HYPERLINK("http://www.eatonpowersource.com/products/details/374339","374339")</f>
        <v>374339</v>
      </c>
      <c r="B10268" s="6" t="s">
        <v>10085</v>
      </c>
    </row>
    <row r="10269" spans="1:2" x14ac:dyDescent="0.3">
      <c r="A10269" s="7" t="str">
        <f>HYPERLINK("http://www.eatonpowersource.com/products/details/379792","379792")</f>
        <v>379792</v>
      </c>
      <c r="B10269" s="8" t="s">
        <v>10086</v>
      </c>
    </row>
    <row r="10270" spans="1:2" x14ac:dyDescent="0.3">
      <c r="A10270" s="5" t="str">
        <f>HYPERLINK("http://www.eatonpowersource.com/products/details/379793","379793")</f>
        <v>379793</v>
      </c>
      <c r="B10270" s="6" t="s">
        <v>9962</v>
      </c>
    </row>
    <row r="10271" spans="1:2" x14ac:dyDescent="0.3">
      <c r="A10271" s="7" t="str">
        <f>HYPERLINK("http://www.eatonpowersource.com/products/details/386530","386530")</f>
        <v>386530</v>
      </c>
      <c r="B10271" s="8" t="s">
        <v>10087</v>
      </c>
    </row>
    <row r="10272" spans="1:2" x14ac:dyDescent="0.3">
      <c r="A10272" s="5" t="str">
        <f>HYPERLINK("http://www.eatonpowersource.com/products/details/386660","386660")</f>
        <v>386660</v>
      </c>
      <c r="B10272" s="6" t="s">
        <v>9653</v>
      </c>
    </row>
    <row r="10273" spans="1:2" x14ac:dyDescent="0.3">
      <c r="A10273" s="7" t="str">
        <f>HYPERLINK("http://www.eatonpowersource.com/products/details/386715","386715")</f>
        <v>386715</v>
      </c>
      <c r="B10273" s="8" t="s">
        <v>10088</v>
      </c>
    </row>
    <row r="10274" spans="1:2" x14ac:dyDescent="0.3">
      <c r="A10274" s="5" t="str">
        <f>HYPERLINK("http://www.eatonpowersource.com/products/details/388153","388153")</f>
        <v>388153</v>
      </c>
      <c r="B10274" s="6" t="s">
        <v>10041</v>
      </c>
    </row>
    <row r="10275" spans="1:2" x14ac:dyDescent="0.3">
      <c r="A10275" s="7" t="str">
        <f>HYPERLINK("http://www.eatonpowersource.com/products/details/388154","388154")</f>
        <v>388154</v>
      </c>
      <c r="B10275" s="8" t="s">
        <v>10041</v>
      </c>
    </row>
    <row r="10276" spans="1:2" x14ac:dyDescent="0.3">
      <c r="A10276" s="5" t="str">
        <f>HYPERLINK("http://www.eatonpowersource.com/products/details/388206","388206")</f>
        <v>388206</v>
      </c>
      <c r="B10276" s="6" t="s">
        <v>10089</v>
      </c>
    </row>
    <row r="10277" spans="1:2" x14ac:dyDescent="0.3">
      <c r="A10277" s="7" t="str">
        <f>HYPERLINK("http://www.eatonpowersource.com/products/details/388355","388355")</f>
        <v>388355</v>
      </c>
      <c r="B10277" s="8" t="s">
        <v>9653</v>
      </c>
    </row>
    <row r="10278" spans="1:2" x14ac:dyDescent="0.3">
      <c r="A10278" s="5" t="str">
        <f>HYPERLINK("http://www.eatonpowersource.com/products/details/388745","388745")</f>
        <v>388745</v>
      </c>
      <c r="B10278" s="6" t="s">
        <v>10090</v>
      </c>
    </row>
    <row r="10279" spans="1:2" x14ac:dyDescent="0.3">
      <c r="A10279" s="7" t="str">
        <f>HYPERLINK("http://www.eatonpowersource.com/products/details/392669","392669")</f>
        <v>392669</v>
      </c>
      <c r="B10279" s="8" t="s">
        <v>10091</v>
      </c>
    </row>
    <row r="10280" spans="1:2" x14ac:dyDescent="0.3">
      <c r="A10280" s="5" t="str">
        <f>HYPERLINK("http://www.eatonpowersource.com/products/details/393536","393536")</f>
        <v>393536</v>
      </c>
      <c r="B10280" s="6" t="s">
        <v>9656</v>
      </c>
    </row>
    <row r="10281" spans="1:2" x14ac:dyDescent="0.3">
      <c r="A10281" s="7" t="str">
        <f>HYPERLINK("http://www.eatonpowersource.com/products/details/394036","394036")</f>
        <v>394036</v>
      </c>
      <c r="B10281" s="8" t="s">
        <v>10091</v>
      </c>
    </row>
    <row r="10282" spans="1:2" x14ac:dyDescent="0.3">
      <c r="A10282" s="5" t="str">
        <f>HYPERLINK("http://www.eatonpowersource.com/products/details/394517","394517")</f>
        <v>394517</v>
      </c>
      <c r="B10282" s="6" t="s">
        <v>10092</v>
      </c>
    </row>
    <row r="10283" spans="1:2" x14ac:dyDescent="0.3">
      <c r="A10283" s="7" t="str">
        <f>HYPERLINK("http://www.eatonpowersource.com/products/details/401700","401700")</f>
        <v>401700</v>
      </c>
      <c r="B10283" s="8" t="s">
        <v>9653</v>
      </c>
    </row>
    <row r="10284" spans="1:2" x14ac:dyDescent="0.3">
      <c r="A10284" s="5" t="str">
        <f>HYPERLINK("http://www.eatonpowersource.com/products/details/402643","402643")</f>
        <v>402643</v>
      </c>
      <c r="B10284" s="6" t="s">
        <v>10093</v>
      </c>
    </row>
    <row r="10285" spans="1:2" x14ac:dyDescent="0.3">
      <c r="A10285" s="7" t="str">
        <f>HYPERLINK("http://www.eatonpowersource.com/products/details/402644","402644")</f>
        <v>402644</v>
      </c>
      <c r="B10285" s="8" t="s">
        <v>10094</v>
      </c>
    </row>
    <row r="10286" spans="1:2" x14ac:dyDescent="0.3">
      <c r="A10286" s="5" t="str">
        <f>HYPERLINK("http://www.eatonpowersource.com/products/details/408639","408639")</f>
        <v>408639</v>
      </c>
      <c r="B10286" s="6" t="s">
        <v>10095</v>
      </c>
    </row>
    <row r="10287" spans="1:2" x14ac:dyDescent="0.3">
      <c r="A10287" s="7" t="str">
        <f>HYPERLINK("http://www.eatonpowersource.com/products/details/409998","409998")</f>
        <v>409998</v>
      </c>
      <c r="B10287" s="8" t="s">
        <v>10096</v>
      </c>
    </row>
    <row r="10288" spans="1:2" x14ac:dyDescent="0.3">
      <c r="A10288" s="5" t="str">
        <f>HYPERLINK("http://www.eatonpowersource.com/products/details/409999","409999")</f>
        <v>409999</v>
      </c>
      <c r="B10288" s="6" t="s">
        <v>9657</v>
      </c>
    </row>
    <row r="10289" spans="1:2" x14ac:dyDescent="0.3">
      <c r="A10289" s="7" t="str">
        <f>HYPERLINK("http://www.eatonpowersource.com/products/details/410053","410053")</f>
        <v>410053</v>
      </c>
      <c r="B10289" s="8" t="s">
        <v>10097</v>
      </c>
    </row>
    <row r="10290" spans="1:2" x14ac:dyDescent="0.3">
      <c r="A10290" s="5" t="str">
        <f>HYPERLINK("http://www.eatonpowersource.com/products/details/410061","410061")</f>
        <v>410061</v>
      </c>
      <c r="B10290" s="6" t="s">
        <v>9653</v>
      </c>
    </row>
    <row r="10291" spans="1:2" x14ac:dyDescent="0.3">
      <c r="A10291" s="7" t="str">
        <f>HYPERLINK("http://www.eatonpowersource.com/products/details/413603","413603")</f>
        <v>413603</v>
      </c>
      <c r="B10291" s="8" t="s">
        <v>10041</v>
      </c>
    </row>
    <row r="10292" spans="1:2" x14ac:dyDescent="0.3">
      <c r="A10292" s="5" t="str">
        <f>HYPERLINK("http://www.eatonpowersource.com/products/details/416637","416637")</f>
        <v>416637</v>
      </c>
      <c r="B10292" s="6" t="s">
        <v>10098</v>
      </c>
    </row>
    <row r="10293" spans="1:2" x14ac:dyDescent="0.3">
      <c r="A10293" s="7" t="str">
        <f>HYPERLINK("http://www.eatonpowersource.com/products/details/417381","417381")</f>
        <v>417381</v>
      </c>
      <c r="B10293" s="8" t="s">
        <v>10099</v>
      </c>
    </row>
    <row r="10294" spans="1:2" x14ac:dyDescent="0.3">
      <c r="A10294" s="5" t="str">
        <f>HYPERLINK("http://www.eatonpowersource.com/products/details/419083","419083")</f>
        <v>419083</v>
      </c>
      <c r="B10294" s="6" t="s">
        <v>10100</v>
      </c>
    </row>
    <row r="10295" spans="1:2" x14ac:dyDescent="0.3">
      <c r="A10295" s="7" t="str">
        <f>HYPERLINK("http://www.eatonpowersource.com/products/details/419627","419627")</f>
        <v>419627</v>
      </c>
      <c r="B10295" s="8" t="s">
        <v>10101</v>
      </c>
    </row>
    <row r="10296" spans="1:2" x14ac:dyDescent="0.3">
      <c r="A10296" s="5" t="str">
        <f>HYPERLINK("http://www.eatonpowersource.com/products/details/420687","420687")</f>
        <v>420687</v>
      </c>
      <c r="B10296" s="6" t="s">
        <v>10055</v>
      </c>
    </row>
    <row r="10297" spans="1:2" x14ac:dyDescent="0.3">
      <c r="A10297" s="7" t="str">
        <f>HYPERLINK("http://www.eatonpowersource.com/products/details/422582","422582")</f>
        <v>422582</v>
      </c>
      <c r="B10297" s="8" t="s">
        <v>10102</v>
      </c>
    </row>
    <row r="10298" spans="1:2" x14ac:dyDescent="0.3">
      <c r="A10298" s="5" t="str">
        <f>HYPERLINK("http://www.eatonpowersource.com/products/details/422583","422583")</f>
        <v>422583</v>
      </c>
      <c r="B10298" s="6" t="s">
        <v>10103</v>
      </c>
    </row>
    <row r="10299" spans="1:2" x14ac:dyDescent="0.3">
      <c r="A10299" s="7" t="str">
        <f>HYPERLINK("http://www.eatonpowersource.com/products/details/422584","422584")</f>
        <v>422584</v>
      </c>
      <c r="B10299" s="8" t="s">
        <v>10104</v>
      </c>
    </row>
    <row r="10300" spans="1:2" x14ac:dyDescent="0.3">
      <c r="A10300" s="5" t="str">
        <f>HYPERLINK("http://www.eatonpowersource.com/products/details/423415","423415")</f>
        <v>423415</v>
      </c>
      <c r="B10300" s="6" t="s">
        <v>10105</v>
      </c>
    </row>
    <row r="10301" spans="1:2" x14ac:dyDescent="0.3">
      <c r="A10301" s="7" t="str">
        <f>HYPERLINK("http://www.eatonpowersource.com/products/details/423416","423416")</f>
        <v>423416</v>
      </c>
      <c r="B10301" s="8" t="s">
        <v>10106</v>
      </c>
    </row>
    <row r="10302" spans="1:2" x14ac:dyDescent="0.3">
      <c r="A10302" s="5" t="str">
        <f>HYPERLINK("http://www.eatonpowersource.com/products/details/424544","424544")</f>
        <v>424544</v>
      </c>
      <c r="B10302" s="6" t="s">
        <v>10107</v>
      </c>
    </row>
    <row r="10303" spans="1:2" x14ac:dyDescent="0.3">
      <c r="A10303" s="7" t="str">
        <f>HYPERLINK("http://www.eatonpowersource.com/products/details/425412","425412")</f>
        <v>425412</v>
      </c>
      <c r="B10303" s="8" t="s">
        <v>10108</v>
      </c>
    </row>
    <row r="10304" spans="1:2" x14ac:dyDescent="0.3">
      <c r="A10304" s="5" t="str">
        <f>HYPERLINK("http://www.eatonpowersource.com/products/details/425413","425413")</f>
        <v>425413</v>
      </c>
      <c r="B10304" s="6" t="s">
        <v>10108</v>
      </c>
    </row>
    <row r="10305" spans="1:2" x14ac:dyDescent="0.3">
      <c r="A10305" s="7" t="str">
        <f>HYPERLINK("http://www.eatonpowersource.com/products/details/425415","425415")</f>
        <v>425415</v>
      </c>
      <c r="B10305" s="8" t="s">
        <v>10108</v>
      </c>
    </row>
    <row r="10306" spans="1:2" x14ac:dyDescent="0.3">
      <c r="A10306" s="5" t="str">
        <f>HYPERLINK("http://www.eatonpowersource.com/products/details/425416","425416")</f>
        <v>425416</v>
      </c>
      <c r="B10306" s="6" t="s">
        <v>10108</v>
      </c>
    </row>
    <row r="10307" spans="1:2" x14ac:dyDescent="0.3">
      <c r="A10307" s="7" t="str">
        <f>HYPERLINK("http://www.eatonpowersource.com/products/details/426770","426770")</f>
        <v>426770</v>
      </c>
      <c r="B10307" s="8" t="s">
        <v>10109</v>
      </c>
    </row>
    <row r="10308" spans="1:2" x14ac:dyDescent="0.3">
      <c r="A10308" s="5" t="str">
        <f>HYPERLINK("http://www.eatonpowersource.com/products/details/427171","427171")</f>
        <v>427171</v>
      </c>
      <c r="B10308" s="6" t="s">
        <v>10110</v>
      </c>
    </row>
    <row r="10309" spans="1:2" x14ac:dyDescent="0.3">
      <c r="A10309" s="7" t="str">
        <f>HYPERLINK("http://www.eatonpowersource.com/products/details/427172","427172")</f>
        <v>427172</v>
      </c>
      <c r="B10309" s="8" t="s">
        <v>10111</v>
      </c>
    </row>
    <row r="10310" spans="1:2" x14ac:dyDescent="0.3">
      <c r="A10310" s="5" t="str">
        <f>HYPERLINK("http://www.eatonpowersource.com/products/details/427692","427692")</f>
        <v>427692</v>
      </c>
      <c r="B10310" s="6" t="s">
        <v>10112</v>
      </c>
    </row>
    <row r="10311" spans="1:2" x14ac:dyDescent="0.3">
      <c r="A10311" s="7" t="str">
        <f>HYPERLINK("http://www.eatonpowersource.com/products/details/428883","428883")</f>
        <v>428883</v>
      </c>
      <c r="B10311" s="8" t="s">
        <v>10113</v>
      </c>
    </row>
    <row r="10312" spans="1:2" x14ac:dyDescent="0.3">
      <c r="A10312" s="5" t="str">
        <f>HYPERLINK("http://www.eatonpowersource.com/products/details/429282","429282")</f>
        <v>429282</v>
      </c>
      <c r="B10312" s="6" t="s">
        <v>10114</v>
      </c>
    </row>
    <row r="10313" spans="1:2" x14ac:dyDescent="0.3">
      <c r="A10313" s="7" t="str">
        <f>HYPERLINK("http://www.eatonpowersource.com/products/details/429325","429325")</f>
        <v>429325</v>
      </c>
      <c r="B10313" s="8" t="s">
        <v>10115</v>
      </c>
    </row>
    <row r="10314" spans="1:2" x14ac:dyDescent="0.3">
      <c r="A10314" s="5" t="str">
        <f>HYPERLINK("http://www.eatonpowersource.com/products/details/432700","432700")</f>
        <v>432700</v>
      </c>
      <c r="B10314" s="6" t="s">
        <v>10116</v>
      </c>
    </row>
    <row r="10315" spans="1:2" x14ac:dyDescent="0.3">
      <c r="A10315" s="7" t="str">
        <f>HYPERLINK("http://www.eatonpowersource.com/products/details/433559","433559")</f>
        <v>433559</v>
      </c>
      <c r="B10315" s="8" t="s">
        <v>10113</v>
      </c>
    </row>
    <row r="10316" spans="1:2" x14ac:dyDescent="0.3">
      <c r="A10316" s="5" t="str">
        <f>HYPERLINK("http://www.eatonpowersource.com/products/details/436330","436330")</f>
        <v>436330</v>
      </c>
      <c r="B10316" s="6" t="s">
        <v>10117</v>
      </c>
    </row>
    <row r="10317" spans="1:2" x14ac:dyDescent="0.3">
      <c r="A10317" s="7" t="str">
        <f>HYPERLINK("http://www.eatonpowersource.com/products/details/456173","456173")</f>
        <v>456173</v>
      </c>
      <c r="B10317" s="8" t="s">
        <v>10118</v>
      </c>
    </row>
    <row r="10318" spans="1:2" x14ac:dyDescent="0.3">
      <c r="A10318" s="5" t="str">
        <f>HYPERLINK("http://www.eatonpowersource.com/products/details/456798","456798")</f>
        <v>456798</v>
      </c>
      <c r="B10318" s="6" t="s">
        <v>10119</v>
      </c>
    </row>
    <row r="10319" spans="1:2" x14ac:dyDescent="0.3">
      <c r="A10319" s="7" t="str">
        <f>HYPERLINK("http://www.eatonpowersource.com/products/details/456925","456925")</f>
        <v>456925</v>
      </c>
      <c r="B10319" s="8" t="s">
        <v>10120</v>
      </c>
    </row>
    <row r="10320" spans="1:2" x14ac:dyDescent="0.3">
      <c r="A10320" s="5" t="str">
        <f>HYPERLINK("http://www.eatonpowersource.com/products/details/456926","456926")</f>
        <v>456926</v>
      </c>
      <c r="B10320" s="6" t="s">
        <v>10121</v>
      </c>
    </row>
    <row r="10321" spans="1:2" x14ac:dyDescent="0.3">
      <c r="A10321" s="7" t="str">
        <f>HYPERLINK("http://www.eatonpowersource.com/products/details/457866","457866")</f>
        <v>457866</v>
      </c>
      <c r="B10321" s="8" t="s">
        <v>9653</v>
      </c>
    </row>
    <row r="10322" spans="1:2" x14ac:dyDescent="0.3">
      <c r="A10322" s="5" t="str">
        <f>HYPERLINK("http://www.eatonpowersource.com/products/details/457911","457911")</f>
        <v>457911</v>
      </c>
      <c r="B10322" s="6" t="s">
        <v>10122</v>
      </c>
    </row>
    <row r="10323" spans="1:2" x14ac:dyDescent="0.3">
      <c r="A10323" s="7" t="str">
        <f>HYPERLINK("http://www.eatonpowersource.com/products/details/457942","457942")</f>
        <v>457942</v>
      </c>
      <c r="B10323" s="8" t="s">
        <v>10123</v>
      </c>
    </row>
    <row r="10324" spans="1:2" x14ac:dyDescent="0.3">
      <c r="A10324" s="5" t="str">
        <f>HYPERLINK("http://www.eatonpowersource.com/products/details/457959","457959")</f>
        <v>457959</v>
      </c>
      <c r="B10324" s="6" t="s">
        <v>10124</v>
      </c>
    </row>
    <row r="10325" spans="1:2" x14ac:dyDescent="0.3">
      <c r="A10325" s="7" t="str">
        <f>HYPERLINK("http://www.eatonpowersource.com/products/details/457964","457964")</f>
        <v>457964</v>
      </c>
      <c r="B10325" s="8" t="s">
        <v>10125</v>
      </c>
    </row>
    <row r="10326" spans="1:2" x14ac:dyDescent="0.3">
      <c r="A10326" s="5" t="str">
        <f>HYPERLINK("http://www.eatonpowersource.com/products/details/457970","457970")</f>
        <v>457970</v>
      </c>
      <c r="B10326" s="6" t="s">
        <v>10126</v>
      </c>
    </row>
    <row r="10327" spans="1:2" x14ac:dyDescent="0.3">
      <c r="A10327" s="7" t="str">
        <f>HYPERLINK("http://www.eatonpowersource.com/products/details/457977","457977")</f>
        <v>457977</v>
      </c>
      <c r="B10327" s="8" t="s">
        <v>10127</v>
      </c>
    </row>
    <row r="10328" spans="1:2" x14ac:dyDescent="0.3">
      <c r="A10328" s="5" t="str">
        <f>HYPERLINK("http://www.eatonpowersource.com/products/details/458502","458502")</f>
        <v>458502</v>
      </c>
      <c r="B10328" s="6" t="s">
        <v>10128</v>
      </c>
    </row>
    <row r="10329" spans="1:2" x14ac:dyDescent="0.3">
      <c r="A10329" s="7" t="str">
        <f>HYPERLINK("http://www.eatonpowersource.com/products/details/458503","458503")</f>
        <v>458503</v>
      </c>
      <c r="B10329" s="8" t="s">
        <v>10129</v>
      </c>
    </row>
    <row r="10330" spans="1:2" x14ac:dyDescent="0.3">
      <c r="A10330" s="5" t="str">
        <f>HYPERLINK("http://www.eatonpowersource.com/products/details/458670","458670")</f>
        <v>458670</v>
      </c>
      <c r="B10330" s="6" t="s">
        <v>10130</v>
      </c>
    </row>
    <row r="10331" spans="1:2" x14ac:dyDescent="0.3">
      <c r="A10331" s="7" t="str">
        <f>HYPERLINK("http://www.eatonpowersource.com/products/details/458820","458820")</f>
        <v>458820</v>
      </c>
      <c r="B10331" s="8" t="s">
        <v>9653</v>
      </c>
    </row>
    <row r="10332" spans="1:2" x14ac:dyDescent="0.3">
      <c r="A10332" s="5" t="str">
        <f>HYPERLINK("http://www.eatonpowersource.com/products/details/458826","458826")</f>
        <v>458826</v>
      </c>
      <c r="B10332" s="6" t="s">
        <v>10131</v>
      </c>
    </row>
    <row r="10333" spans="1:2" x14ac:dyDescent="0.3">
      <c r="A10333" s="7" t="str">
        <f>HYPERLINK("http://www.eatonpowersource.com/products/details/458833","458833")</f>
        <v>458833</v>
      </c>
      <c r="B10333" s="8" t="s">
        <v>10132</v>
      </c>
    </row>
    <row r="10334" spans="1:2" x14ac:dyDescent="0.3">
      <c r="A10334" s="5" t="str">
        <f>HYPERLINK("http://www.eatonpowersource.com/products/details/458910","458910")</f>
        <v>458910</v>
      </c>
      <c r="B10334" s="6" t="s">
        <v>10133</v>
      </c>
    </row>
    <row r="10335" spans="1:2" x14ac:dyDescent="0.3">
      <c r="A10335" s="7" t="str">
        <f>HYPERLINK("http://www.eatonpowersource.com/products/details/458937","458937")</f>
        <v>458937</v>
      </c>
      <c r="B10335" s="8" t="s">
        <v>10131</v>
      </c>
    </row>
    <row r="10336" spans="1:2" x14ac:dyDescent="0.3">
      <c r="A10336" s="5" t="str">
        <f>HYPERLINK("http://www.eatonpowersource.com/products/details/458938","458938")</f>
        <v>458938</v>
      </c>
      <c r="B10336" s="6" t="s">
        <v>10134</v>
      </c>
    </row>
    <row r="10337" spans="1:2" x14ac:dyDescent="0.3">
      <c r="A10337" s="7" t="str">
        <f>HYPERLINK("http://www.eatonpowersource.com/products/details/458939","458939")</f>
        <v>458939</v>
      </c>
      <c r="B10337" s="8" t="s">
        <v>10135</v>
      </c>
    </row>
    <row r="10338" spans="1:2" x14ac:dyDescent="0.3">
      <c r="A10338" s="5" t="str">
        <f>HYPERLINK("http://www.eatonpowersource.com/products/details/459057","459057")</f>
        <v>459057</v>
      </c>
      <c r="B10338" s="6" t="s">
        <v>10136</v>
      </c>
    </row>
    <row r="10339" spans="1:2" x14ac:dyDescent="0.3">
      <c r="A10339" s="7" t="str">
        <f>HYPERLINK("http://www.eatonpowersource.com/products/details/459058","459058")</f>
        <v>459058</v>
      </c>
      <c r="B10339" s="8" t="s">
        <v>10137</v>
      </c>
    </row>
    <row r="10340" spans="1:2" x14ac:dyDescent="0.3">
      <c r="A10340" s="5" t="str">
        <f>HYPERLINK("http://www.eatonpowersource.com/products/details/464125","464125")</f>
        <v>464125</v>
      </c>
      <c r="B10340" s="6" t="s">
        <v>10138</v>
      </c>
    </row>
    <row r="10341" spans="1:2" x14ac:dyDescent="0.3">
      <c r="A10341" s="7" t="str">
        <f>HYPERLINK("http://www.eatonpowersource.com/products/details/464400","464400")</f>
        <v>464400</v>
      </c>
      <c r="B10341" s="8" t="s">
        <v>10139</v>
      </c>
    </row>
    <row r="10342" spans="1:2" x14ac:dyDescent="0.3">
      <c r="A10342" s="5" t="str">
        <f>HYPERLINK("http://www.eatonpowersource.com/products/details/464405","464405")</f>
        <v>464405</v>
      </c>
      <c r="B10342" s="6" t="s">
        <v>10140</v>
      </c>
    </row>
    <row r="10343" spans="1:2" x14ac:dyDescent="0.3">
      <c r="A10343" s="7" t="str">
        <f>HYPERLINK("http://www.eatonpowersource.com/products/details/464407","464407")</f>
        <v>464407</v>
      </c>
      <c r="B10343" s="8" t="s">
        <v>10141</v>
      </c>
    </row>
    <row r="10344" spans="1:2" x14ac:dyDescent="0.3">
      <c r="A10344" s="5" t="str">
        <f>HYPERLINK("http://www.eatonpowersource.com/products/details/464410","464410")</f>
        <v>464410</v>
      </c>
      <c r="B10344" s="6" t="s">
        <v>10142</v>
      </c>
    </row>
    <row r="10345" spans="1:2" x14ac:dyDescent="0.3">
      <c r="A10345" s="7" t="str">
        <f>HYPERLINK("http://www.eatonpowersource.com/products/details/464523","464523")</f>
        <v>464523</v>
      </c>
      <c r="B10345" s="8" t="s">
        <v>10143</v>
      </c>
    </row>
    <row r="10346" spans="1:2" x14ac:dyDescent="0.3">
      <c r="A10346" s="5" t="str">
        <f>HYPERLINK("http://www.eatonpowersource.com/products/details/466310","466310")</f>
        <v>466310</v>
      </c>
      <c r="B10346" s="6" t="s">
        <v>10144</v>
      </c>
    </row>
    <row r="10347" spans="1:2" x14ac:dyDescent="0.3">
      <c r="A10347" s="7" t="str">
        <f>HYPERLINK("http://www.eatonpowersource.com/products/details/466723","466723")</f>
        <v>466723</v>
      </c>
      <c r="B10347" s="8" t="s">
        <v>10145</v>
      </c>
    </row>
    <row r="10348" spans="1:2" x14ac:dyDescent="0.3">
      <c r="A10348" s="5" t="str">
        <f>HYPERLINK("http://www.eatonpowersource.com/products/details/466834","466834")</f>
        <v>466834</v>
      </c>
      <c r="B10348" s="6" t="s">
        <v>10146</v>
      </c>
    </row>
    <row r="10349" spans="1:2" x14ac:dyDescent="0.3">
      <c r="A10349" s="7" t="str">
        <f>HYPERLINK("http://www.eatonpowersource.com/products/details/466836","466836")</f>
        <v>466836</v>
      </c>
      <c r="B10349" s="8" t="s">
        <v>10147</v>
      </c>
    </row>
    <row r="10350" spans="1:2" x14ac:dyDescent="0.3">
      <c r="A10350" s="5" t="str">
        <f>HYPERLINK("http://www.eatonpowersource.com/products/details/466837","466837")</f>
        <v>466837</v>
      </c>
      <c r="B10350" s="6" t="s">
        <v>10148</v>
      </c>
    </row>
    <row r="10351" spans="1:2" x14ac:dyDescent="0.3">
      <c r="A10351" s="7" t="str">
        <f>HYPERLINK("http://www.eatonpowersource.com/products/details/466838","466838")</f>
        <v>466838</v>
      </c>
      <c r="B10351" s="8" t="s">
        <v>10149</v>
      </c>
    </row>
    <row r="10352" spans="1:2" x14ac:dyDescent="0.3">
      <c r="A10352" s="5" t="str">
        <f>HYPERLINK("http://www.eatonpowersource.com/products/details/466840","466840")</f>
        <v>466840</v>
      </c>
      <c r="B10352" s="6" t="s">
        <v>10150</v>
      </c>
    </row>
    <row r="10353" spans="1:2" x14ac:dyDescent="0.3">
      <c r="A10353" s="7" t="str">
        <f>HYPERLINK("http://www.eatonpowersource.com/products/details/466841","466841")</f>
        <v>466841</v>
      </c>
      <c r="B10353" s="8" t="s">
        <v>10151</v>
      </c>
    </row>
    <row r="10354" spans="1:2" x14ac:dyDescent="0.3">
      <c r="A10354" s="5" t="str">
        <f>HYPERLINK("http://www.eatonpowersource.com/products/details/466842","466842")</f>
        <v>466842</v>
      </c>
      <c r="B10354" s="6" t="s">
        <v>10152</v>
      </c>
    </row>
    <row r="10355" spans="1:2" x14ac:dyDescent="0.3">
      <c r="A10355" s="7" t="str">
        <f>HYPERLINK("http://www.eatonpowersource.com/products/details/466845","466845")</f>
        <v>466845</v>
      </c>
      <c r="B10355" s="8" t="s">
        <v>10153</v>
      </c>
    </row>
    <row r="10356" spans="1:2" x14ac:dyDescent="0.3">
      <c r="A10356" s="5" t="str">
        <f>HYPERLINK("http://www.eatonpowersource.com/products/details/466855","466855")</f>
        <v>466855</v>
      </c>
      <c r="B10356" s="6" t="s">
        <v>10154</v>
      </c>
    </row>
    <row r="10357" spans="1:2" x14ac:dyDescent="0.3">
      <c r="A10357" s="7" t="str">
        <f>HYPERLINK("http://www.eatonpowersource.com/products/details/467721","467721")</f>
        <v>467721</v>
      </c>
      <c r="B10357" s="8" t="s">
        <v>10155</v>
      </c>
    </row>
    <row r="10358" spans="1:2" x14ac:dyDescent="0.3">
      <c r="A10358" s="5" t="str">
        <f>HYPERLINK("http://www.eatonpowersource.com/products/details/468536","468536")</f>
        <v>468536</v>
      </c>
      <c r="B10358" s="6" t="s">
        <v>9657</v>
      </c>
    </row>
    <row r="10359" spans="1:2" x14ac:dyDescent="0.3">
      <c r="A10359" s="7" t="str">
        <f>HYPERLINK("http://www.eatonpowersource.com/products/details/468537","468537")</f>
        <v>468537</v>
      </c>
      <c r="B10359" s="8" t="s">
        <v>9962</v>
      </c>
    </row>
    <row r="10360" spans="1:2" x14ac:dyDescent="0.3">
      <c r="A10360" s="5" t="str">
        <f>HYPERLINK("http://www.eatonpowersource.com/products/details/468545","468545")</f>
        <v>468545</v>
      </c>
      <c r="B10360" s="6" t="s">
        <v>9657</v>
      </c>
    </row>
    <row r="10361" spans="1:2" x14ac:dyDescent="0.3">
      <c r="A10361" s="7" t="str">
        <f>HYPERLINK("http://www.eatonpowersource.com/products/details/468546","468546")</f>
        <v>468546</v>
      </c>
      <c r="B10361" s="8" t="s">
        <v>9962</v>
      </c>
    </row>
    <row r="10362" spans="1:2" x14ac:dyDescent="0.3">
      <c r="A10362" s="5" t="str">
        <f>HYPERLINK("http://www.eatonpowersource.com/products/details/471131","471131")</f>
        <v>471131</v>
      </c>
      <c r="B10362" s="6" t="s">
        <v>9644</v>
      </c>
    </row>
    <row r="10363" spans="1:2" x14ac:dyDescent="0.3">
      <c r="A10363" s="7" t="str">
        <f>HYPERLINK("http://www.eatonpowersource.com/products/details/472188","472188")</f>
        <v>472188</v>
      </c>
      <c r="B10363" s="8" t="s">
        <v>10156</v>
      </c>
    </row>
    <row r="10364" spans="1:2" x14ac:dyDescent="0.3">
      <c r="A10364" s="5" t="str">
        <f>HYPERLINK("http://www.eatonpowersource.com/products/details/473914","473914")</f>
        <v>473914</v>
      </c>
      <c r="B10364" s="6" t="s">
        <v>10101</v>
      </c>
    </row>
    <row r="10365" spans="1:2" x14ac:dyDescent="0.3">
      <c r="A10365" s="7" t="str">
        <f>HYPERLINK("http://www.eatonpowersource.com/products/details/475134","475134")</f>
        <v>475134</v>
      </c>
      <c r="B10365" s="8" t="s">
        <v>10109</v>
      </c>
    </row>
    <row r="10366" spans="1:2" x14ac:dyDescent="0.3">
      <c r="A10366" s="5" t="str">
        <f>HYPERLINK("http://www.eatonpowersource.com/products/details/478292","478292")</f>
        <v>478292</v>
      </c>
      <c r="B10366" s="6" t="s">
        <v>10157</v>
      </c>
    </row>
    <row r="10367" spans="1:2" x14ac:dyDescent="0.3">
      <c r="A10367" s="7" t="str">
        <f>HYPERLINK("http://www.eatonpowersource.com/products/details/478732","478732")</f>
        <v>478732</v>
      </c>
      <c r="B10367" s="8" t="s">
        <v>10158</v>
      </c>
    </row>
    <row r="10368" spans="1:2" x14ac:dyDescent="0.3">
      <c r="A10368" s="5" t="str">
        <f>HYPERLINK("http://www.eatonpowersource.com/products/details/478733","478733")</f>
        <v>478733</v>
      </c>
      <c r="B10368" s="6" t="s">
        <v>2797</v>
      </c>
    </row>
    <row r="10369" spans="1:2" x14ac:dyDescent="0.3">
      <c r="A10369" s="7" t="str">
        <f>HYPERLINK("http://www.eatonpowersource.com/products/details/478735","478735")</f>
        <v>478735</v>
      </c>
      <c r="B10369" s="8" t="s">
        <v>10159</v>
      </c>
    </row>
    <row r="10370" spans="1:2" x14ac:dyDescent="0.3">
      <c r="A10370" s="5" t="str">
        <f>HYPERLINK("http://www.eatonpowersource.com/products/details/478877","478877")</f>
        <v>478877</v>
      </c>
      <c r="B10370" s="6" t="s">
        <v>10160</v>
      </c>
    </row>
    <row r="10371" spans="1:2" x14ac:dyDescent="0.3">
      <c r="A10371" s="7" t="str">
        <f>HYPERLINK("http://www.eatonpowersource.com/products/details/479443","479443")</f>
        <v>479443</v>
      </c>
      <c r="B10371" s="8" t="s">
        <v>2797</v>
      </c>
    </row>
    <row r="10372" spans="1:2" x14ac:dyDescent="0.3">
      <c r="A10372" s="5" t="str">
        <f>HYPERLINK("http://www.eatonpowersource.com/products/details/479449","479449")</f>
        <v>479449</v>
      </c>
      <c r="B10372" s="6" t="s">
        <v>2797</v>
      </c>
    </row>
    <row r="10373" spans="1:2" x14ac:dyDescent="0.3">
      <c r="A10373" s="7" t="str">
        <f>HYPERLINK("http://www.eatonpowersource.com/products/details/479450","479450")</f>
        <v>479450</v>
      </c>
      <c r="B10373" s="8" t="s">
        <v>10161</v>
      </c>
    </row>
    <row r="10374" spans="1:2" x14ac:dyDescent="0.3">
      <c r="A10374" s="5" t="str">
        <f>HYPERLINK("http://www.eatonpowersource.com/products/details/479451","479451")</f>
        <v>479451</v>
      </c>
      <c r="B10374" s="6" t="s">
        <v>10162</v>
      </c>
    </row>
    <row r="10375" spans="1:2" x14ac:dyDescent="0.3">
      <c r="A10375" s="7" t="str">
        <f>HYPERLINK("http://www.eatonpowersource.com/products/details/479452","479452")</f>
        <v>479452</v>
      </c>
      <c r="B10375" s="8" t="s">
        <v>10163</v>
      </c>
    </row>
    <row r="10376" spans="1:2" x14ac:dyDescent="0.3">
      <c r="A10376" s="5" t="str">
        <f>HYPERLINK("http://www.eatonpowersource.com/products/details/479453","479453")</f>
        <v>479453</v>
      </c>
      <c r="B10376" s="6" t="s">
        <v>10164</v>
      </c>
    </row>
    <row r="10377" spans="1:2" x14ac:dyDescent="0.3">
      <c r="A10377" s="7" t="str">
        <f>HYPERLINK("http://www.eatonpowersource.com/products/details/479454","479454")</f>
        <v>479454</v>
      </c>
      <c r="B10377" s="8" t="s">
        <v>10165</v>
      </c>
    </row>
    <row r="10378" spans="1:2" x14ac:dyDescent="0.3">
      <c r="A10378" s="5" t="str">
        <f>HYPERLINK("http://www.eatonpowersource.com/products/details/479455","479455")</f>
        <v>479455</v>
      </c>
      <c r="B10378" s="6" t="s">
        <v>10166</v>
      </c>
    </row>
    <row r="10379" spans="1:2" x14ac:dyDescent="0.3">
      <c r="A10379" s="7" t="str">
        <f>HYPERLINK("http://www.eatonpowersource.com/products/details/479600","479600")</f>
        <v>479600</v>
      </c>
      <c r="B10379" s="8" t="s">
        <v>9992</v>
      </c>
    </row>
    <row r="10380" spans="1:2" x14ac:dyDescent="0.3">
      <c r="A10380" s="5" t="str">
        <f>HYPERLINK("http://www.eatonpowersource.com/products/details/497109","497109")</f>
        <v>497109</v>
      </c>
      <c r="B10380" s="6" t="s">
        <v>10167</v>
      </c>
    </row>
    <row r="10381" spans="1:2" x14ac:dyDescent="0.3">
      <c r="A10381" s="7" t="str">
        <f>HYPERLINK("http://www.eatonpowersource.com/products/details/497113","497113")</f>
        <v>497113</v>
      </c>
      <c r="B10381" s="8" t="s">
        <v>10168</v>
      </c>
    </row>
    <row r="10382" spans="1:2" x14ac:dyDescent="0.3">
      <c r="A10382" s="5" t="str">
        <f>HYPERLINK("http://www.eatonpowersource.com/products/details/497123","497123")</f>
        <v>497123</v>
      </c>
      <c r="B10382" s="6" t="s">
        <v>10169</v>
      </c>
    </row>
    <row r="10383" spans="1:2" x14ac:dyDescent="0.3">
      <c r="A10383" s="7" t="str">
        <f>HYPERLINK("http://www.eatonpowersource.com/products/details/497125","497125")</f>
        <v>497125</v>
      </c>
      <c r="B10383" s="8" t="s">
        <v>10170</v>
      </c>
    </row>
    <row r="10384" spans="1:2" x14ac:dyDescent="0.3">
      <c r="A10384" s="5" t="str">
        <f>HYPERLINK("http://www.eatonpowersource.com/products/details/4992428-001","4992428-001")</f>
        <v>4992428-001</v>
      </c>
      <c r="B10384" s="6" t="s">
        <v>10171</v>
      </c>
    </row>
    <row r="10385" spans="1:2" x14ac:dyDescent="0.3">
      <c r="A10385" s="7" t="str">
        <f>HYPERLINK("http://www.eatonpowersource.com/products/details/4992730-001","4992730-001")</f>
        <v>4992730-001</v>
      </c>
      <c r="B10385" s="8" t="s">
        <v>9648</v>
      </c>
    </row>
    <row r="10386" spans="1:2" x14ac:dyDescent="0.3">
      <c r="A10386" s="5" t="str">
        <f>HYPERLINK("http://www.eatonpowersource.com/products/details/4992730-004","4992730-004")</f>
        <v>4992730-004</v>
      </c>
      <c r="B10386" s="6" t="s">
        <v>7090</v>
      </c>
    </row>
    <row r="10387" spans="1:2" x14ac:dyDescent="0.3">
      <c r="A10387" s="7" t="str">
        <f>HYPERLINK("http://www.eatonpowersource.com/products/details/4992730-005","4992730-005")</f>
        <v>4992730-005</v>
      </c>
      <c r="B10387" s="8" t="s">
        <v>10172</v>
      </c>
    </row>
    <row r="10388" spans="1:2" x14ac:dyDescent="0.3">
      <c r="A10388" s="5" t="str">
        <f>HYPERLINK("http://www.eatonpowersource.com/products/details/4992762-002","4992762-002")</f>
        <v>4992762-002</v>
      </c>
      <c r="B10388" s="6" t="s">
        <v>10173</v>
      </c>
    </row>
    <row r="10389" spans="1:2" x14ac:dyDescent="0.3">
      <c r="A10389" s="7" t="str">
        <f>HYPERLINK("http://www.eatonpowersource.com/products/details/4992762-003","4992762-003")</f>
        <v>4992762-003</v>
      </c>
      <c r="B10389" s="8" t="s">
        <v>10174</v>
      </c>
    </row>
    <row r="10390" spans="1:2" x14ac:dyDescent="0.3">
      <c r="A10390" s="5" t="str">
        <f>HYPERLINK("http://www.eatonpowersource.com/products/details/4993362-001","4993362-001")</f>
        <v>4993362-001</v>
      </c>
      <c r="B10390" s="6" t="s">
        <v>10175</v>
      </c>
    </row>
    <row r="10391" spans="1:2" x14ac:dyDescent="0.3">
      <c r="A10391" s="7" t="str">
        <f>HYPERLINK("http://www.eatonpowersource.com/products/details/4993375-001","4993375-001")</f>
        <v>4993375-001</v>
      </c>
      <c r="B10391" s="8" t="s">
        <v>10176</v>
      </c>
    </row>
    <row r="10392" spans="1:2" x14ac:dyDescent="0.3">
      <c r="A10392" s="5" t="str">
        <f>HYPERLINK("http://www.eatonpowersource.com/products/details/4997800-001","4997800-001")</f>
        <v>4997800-001</v>
      </c>
      <c r="B10392" s="6" t="s">
        <v>10177</v>
      </c>
    </row>
    <row r="10393" spans="1:2" x14ac:dyDescent="0.3">
      <c r="A10393" s="7" t="str">
        <f>HYPERLINK("http://www.eatonpowersource.com/products/details/4997800-002","4997800-002")</f>
        <v>4997800-002</v>
      </c>
      <c r="B10393" s="8" t="s">
        <v>10178</v>
      </c>
    </row>
    <row r="10394" spans="1:2" x14ac:dyDescent="0.3">
      <c r="A10394" s="5" t="str">
        <f>HYPERLINK("http://www.eatonpowersource.com/products/details/4998180-001","4998180-001")</f>
        <v>4998180-001</v>
      </c>
      <c r="B10394" s="6" t="s">
        <v>10179</v>
      </c>
    </row>
    <row r="10395" spans="1:2" x14ac:dyDescent="0.3">
      <c r="A10395" s="7" t="str">
        <f>HYPERLINK("http://www.eatonpowersource.com/products/details/4998319-001","4998319-001")</f>
        <v>4998319-001</v>
      </c>
      <c r="B10395" s="8" t="s">
        <v>10180</v>
      </c>
    </row>
    <row r="10396" spans="1:2" x14ac:dyDescent="0.3">
      <c r="A10396" s="5" t="str">
        <f>HYPERLINK("http://www.eatonpowersource.com/products/details/4998581-001","4998581-001")</f>
        <v>4998581-001</v>
      </c>
      <c r="B10396" s="6" t="s">
        <v>10181</v>
      </c>
    </row>
    <row r="10397" spans="1:2" x14ac:dyDescent="0.3">
      <c r="A10397" s="7" t="str">
        <f>HYPERLINK("http://www.eatonpowersource.com/products/details/502467","502467")</f>
        <v>502467</v>
      </c>
      <c r="B10397" s="8" t="s">
        <v>10182</v>
      </c>
    </row>
    <row r="10398" spans="1:2" x14ac:dyDescent="0.3">
      <c r="A10398" s="5" t="str">
        <f>HYPERLINK("http://www.eatonpowersource.com/products/details/502468","502468")</f>
        <v>502468</v>
      </c>
      <c r="B10398" s="6" t="s">
        <v>10183</v>
      </c>
    </row>
    <row r="10399" spans="1:2" x14ac:dyDescent="0.3">
      <c r="A10399" s="7" t="str">
        <f>HYPERLINK("http://www.eatonpowersource.com/products/details/5032-3/8","5032-3/8")</f>
        <v>5032-3/8</v>
      </c>
      <c r="B10399" s="8" t="s">
        <v>10184</v>
      </c>
    </row>
    <row r="10400" spans="1:2" x14ac:dyDescent="0.3">
      <c r="A10400" s="5" t="str">
        <f>HYPERLINK("http://www.eatonpowersource.com/products/details/504059","504059")</f>
        <v>504059</v>
      </c>
      <c r="B10400" s="6" t="s">
        <v>10185</v>
      </c>
    </row>
    <row r="10401" spans="1:2" x14ac:dyDescent="0.3">
      <c r="A10401" s="7" t="str">
        <f>HYPERLINK("http://www.eatonpowersource.com/products/details/507724","507724")</f>
        <v>507724</v>
      </c>
      <c r="B10401" s="8" t="s">
        <v>10186</v>
      </c>
    </row>
    <row r="10402" spans="1:2" x14ac:dyDescent="0.3">
      <c r="A10402" s="5" t="str">
        <f>HYPERLINK("http://www.eatonpowersource.com/products/details/5077-5","5077-5")</f>
        <v>5077-5</v>
      </c>
      <c r="B10402" s="6" t="s">
        <v>10187</v>
      </c>
    </row>
    <row r="10403" spans="1:2" x14ac:dyDescent="0.3">
      <c r="A10403" s="7" t="str">
        <f>HYPERLINK("http://www.eatonpowersource.com/products/details/507825","507825")</f>
        <v>507825</v>
      </c>
      <c r="B10403" s="8" t="s">
        <v>10188</v>
      </c>
    </row>
    <row r="10404" spans="1:2" x14ac:dyDescent="0.3">
      <c r="A10404" s="5" t="str">
        <f>HYPERLINK("http://www.eatonpowersource.com/products/details/507826","507826")</f>
        <v>507826</v>
      </c>
      <c r="B10404" s="6" t="s">
        <v>10189</v>
      </c>
    </row>
    <row r="10405" spans="1:2" x14ac:dyDescent="0.3">
      <c r="A10405" s="7" t="str">
        <f>HYPERLINK("http://www.eatonpowersource.com/products/details/507827","507827")</f>
        <v>507827</v>
      </c>
      <c r="B10405" s="8" t="s">
        <v>10190</v>
      </c>
    </row>
    <row r="10406" spans="1:2" x14ac:dyDescent="0.3">
      <c r="A10406" s="5" t="str">
        <f>HYPERLINK("http://www.eatonpowersource.com/products/details/507833","507833")</f>
        <v>507833</v>
      </c>
      <c r="B10406" s="6" t="s">
        <v>10191</v>
      </c>
    </row>
    <row r="10407" spans="1:2" x14ac:dyDescent="0.3">
      <c r="A10407" s="7" t="str">
        <f>HYPERLINK("http://www.eatonpowersource.com/products/details/507834","507834")</f>
        <v>507834</v>
      </c>
      <c r="B10407" s="8" t="s">
        <v>10192</v>
      </c>
    </row>
    <row r="10408" spans="1:2" x14ac:dyDescent="0.3">
      <c r="A10408" s="5" t="str">
        <f>HYPERLINK("http://www.eatonpowersource.com/products/details/507847","507847")</f>
        <v>507847</v>
      </c>
      <c r="B10408" s="6" t="s">
        <v>10193</v>
      </c>
    </row>
    <row r="10409" spans="1:2" x14ac:dyDescent="0.3">
      <c r="A10409" s="7" t="str">
        <f>HYPERLINK("http://www.eatonpowersource.com/products/details/507848","507848")</f>
        <v>507848</v>
      </c>
      <c r="B10409" s="8" t="s">
        <v>10194</v>
      </c>
    </row>
    <row r="10410" spans="1:2" x14ac:dyDescent="0.3">
      <c r="A10410" s="5" t="str">
        <f>HYPERLINK("http://www.eatonpowersource.com/products/details/507852","507852")</f>
        <v>507852</v>
      </c>
      <c r="B10410" s="6" t="s">
        <v>10195</v>
      </c>
    </row>
    <row r="10411" spans="1:2" x14ac:dyDescent="0.3">
      <c r="A10411" s="7" t="str">
        <f>HYPERLINK("http://www.eatonpowersource.com/products/details/507855","507855")</f>
        <v>507855</v>
      </c>
      <c r="B10411" s="8" t="s">
        <v>10195</v>
      </c>
    </row>
    <row r="10412" spans="1:2" x14ac:dyDescent="0.3">
      <c r="A10412" s="5" t="str">
        <f>HYPERLINK("http://www.eatonpowersource.com/products/details/507889","507889")</f>
        <v>507889</v>
      </c>
      <c r="B10412" s="6" t="s">
        <v>9653</v>
      </c>
    </row>
    <row r="10413" spans="1:2" x14ac:dyDescent="0.3">
      <c r="A10413" s="7" t="str">
        <f>HYPERLINK("http://www.eatonpowersource.com/products/details/507908","507908")</f>
        <v>507908</v>
      </c>
      <c r="B10413" s="8" t="s">
        <v>10196</v>
      </c>
    </row>
    <row r="10414" spans="1:2" x14ac:dyDescent="0.3">
      <c r="A10414" s="5" t="str">
        <f>HYPERLINK("http://www.eatonpowersource.com/products/details/507955","507955")</f>
        <v>507955</v>
      </c>
      <c r="B10414" s="6" t="s">
        <v>10197</v>
      </c>
    </row>
    <row r="10415" spans="1:2" x14ac:dyDescent="0.3">
      <c r="A10415" s="7" t="str">
        <f>HYPERLINK("http://www.eatonpowersource.com/products/details/508113","508113")</f>
        <v>508113</v>
      </c>
      <c r="B10415" s="8" t="s">
        <v>10198</v>
      </c>
    </row>
    <row r="10416" spans="1:2" x14ac:dyDescent="0.3">
      <c r="A10416" s="5" t="str">
        <f>HYPERLINK("http://www.eatonpowersource.com/products/details/508169","508169")</f>
        <v>508169</v>
      </c>
      <c r="B10416" s="6" t="s">
        <v>10199</v>
      </c>
    </row>
    <row r="10417" spans="1:2" x14ac:dyDescent="0.3">
      <c r="A10417" s="7" t="str">
        <f>HYPERLINK("http://www.eatonpowersource.com/products/details/508170","508170")</f>
        <v>508170</v>
      </c>
      <c r="B10417" s="8" t="s">
        <v>10200</v>
      </c>
    </row>
    <row r="10418" spans="1:2" x14ac:dyDescent="0.3">
      <c r="A10418" s="5" t="str">
        <f>HYPERLINK("http://www.eatonpowersource.com/products/details/508173","508173")</f>
        <v>508173</v>
      </c>
      <c r="B10418" s="6" t="s">
        <v>10201</v>
      </c>
    </row>
    <row r="10419" spans="1:2" x14ac:dyDescent="0.3">
      <c r="A10419" s="7" t="str">
        <f>HYPERLINK("http://www.eatonpowersource.com/products/details/508174","508174")</f>
        <v>508174</v>
      </c>
      <c r="B10419" s="8" t="s">
        <v>10202</v>
      </c>
    </row>
    <row r="10420" spans="1:2" x14ac:dyDescent="0.3">
      <c r="A10420" s="5" t="str">
        <f>HYPERLINK("http://www.eatonpowersource.com/products/details/5120-v-075","5120-V-075")</f>
        <v>5120-V-075</v>
      </c>
      <c r="B10420" s="6" t="s">
        <v>10203</v>
      </c>
    </row>
    <row r="10421" spans="1:2" x14ac:dyDescent="0.3">
      <c r="A10421" s="7" t="str">
        <f>HYPERLINK("http://www.eatonpowersource.com/products/details/513436","513436")</f>
        <v>513436</v>
      </c>
      <c r="B10421" s="8" t="s">
        <v>10041</v>
      </c>
    </row>
    <row r="10422" spans="1:2" x14ac:dyDescent="0.3">
      <c r="A10422" s="5" t="str">
        <f>HYPERLINK("http://www.eatonpowersource.com/products/details/513456","513456")</f>
        <v>513456</v>
      </c>
      <c r="B10422" s="6" t="s">
        <v>10204</v>
      </c>
    </row>
    <row r="10423" spans="1:2" x14ac:dyDescent="0.3">
      <c r="A10423" s="7" t="str">
        <f>HYPERLINK("http://www.eatonpowersource.com/products/details/513600","513600")</f>
        <v>513600</v>
      </c>
      <c r="B10423" s="8" t="s">
        <v>10205</v>
      </c>
    </row>
    <row r="10424" spans="1:2" x14ac:dyDescent="0.3">
      <c r="A10424" s="5" t="str">
        <f>HYPERLINK("http://www.eatonpowersource.com/products/details/513627","513627")</f>
        <v>513627</v>
      </c>
      <c r="B10424" s="6" t="s">
        <v>10206</v>
      </c>
    </row>
    <row r="10425" spans="1:2" x14ac:dyDescent="0.3">
      <c r="A10425" s="7" t="str">
        <f>HYPERLINK("http://www.eatonpowersource.com/products/details/513629","513629")</f>
        <v>513629</v>
      </c>
      <c r="B10425" s="8" t="s">
        <v>10207</v>
      </c>
    </row>
    <row r="10426" spans="1:2" x14ac:dyDescent="0.3">
      <c r="A10426" s="5" t="str">
        <f>HYPERLINK("http://www.eatonpowersource.com/products/details/513631","513631")</f>
        <v>513631</v>
      </c>
      <c r="B10426" s="6" t="s">
        <v>10208</v>
      </c>
    </row>
    <row r="10427" spans="1:2" x14ac:dyDescent="0.3">
      <c r="A10427" s="7" t="str">
        <f>HYPERLINK("http://www.eatonpowersource.com/products/details/513778","513778")</f>
        <v>513778</v>
      </c>
      <c r="B10427" s="8" t="s">
        <v>10209</v>
      </c>
    </row>
    <row r="10428" spans="1:2" x14ac:dyDescent="0.3">
      <c r="A10428" s="5" t="str">
        <f>HYPERLINK("http://www.eatonpowersource.com/products/details/513839","513839")</f>
        <v>513839</v>
      </c>
      <c r="B10428" s="6" t="s">
        <v>10210</v>
      </c>
    </row>
    <row r="10429" spans="1:2" x14ac:dyDescent="0.3">
      <c r="A10429" s="7" t="str">
        <f>HYPERLINK("http://www.eatonpowersource.com/products/details/513865","513865")</f>
        <v>513865</v>
      </c>
      <c r="B10429" s="8" t="s">
        <v>10206</v>
      </c>
    </row>
    <row r="10430" spans="1:2" x14ac:dyDescent="0.3">
      <c r="A10430" s="5" t="str">
        <f>HYPERLINK("http://www.eatonpowersource.com/products/details/513885","513885")</f>
        <v>513885</v>
      </c>
      <c r="B10430" s="6" t="s">
        <v>10211</v>
      </c>
    </row>
    <row r="10431" spans="1:2" x14ac:dyDescent="0.3">
      <c r="A10431" s="7" t="str">
        <f>HYPERLINK("http://www.eatonpowersource.com/products/details/513886","513886")</f>
        <v>513886</v>
      </c>
      <c r="B10431" s="8" t="s">
        <v>10211</v>
      </c>
    </row>
    <row r="10432" spans="1:2" x14ac:dyDescent="0.3">
      <c r="A10432" s="5" t="str">
        <f>HYPERLINK("http://www.eatonpowersource.com/products/details/513889","513889")</f>
        <v>513889</v>
      </c>
      <c r="B10432" s="6" t="s">
        <v>10212</v>
      </c>
    </row>
    <row r="10433" spans="1:2" x14ac:dyDescent="0.3">
      <c r="A10433" s="7" t="str">
        <f>HYPERLINK("http://www.eatonpowersource.com/products/details/513911","513911")</f>
        <v>513911</v>
      </c>
      <c r="B10433" s="8" t="s">
        <v>10213</v>
      </c>
    </row>
    <row r="10434" spans="1:2" x14ac:dyDescent="0.3">
      <c r="A10434" s="5" t="str">
        <f>HYPERLINK("http://www.eatonpowersource.com/products/details/513912","513912")</f>
        <v>513912</v>
      </c>
      <c r="B10434" s="6" t="s">
        <v>10213</v>
      </c>
    </row>
    <row r="10435" spans="1:2" x14ac:dyDescent="0.3">
      <c r="A10435" s="7" t="str">
        <f>HYPERLINK("http://www.eatonpowersource.com/products/details/513915","513915")</f>
        <v>513915</v>
      </c>
      <c r="B10435" s="8" t="s">
        <v>10214</v>
      </c>
    </row>
    <row r="10436" spans="1:2" x14ac:dyDescent="0.3">
      <c r="A10436" s="5" t="str">
        <f>HYPERLINK("http://www.eatonpowersource.com/products/details/513926","513926")</f>
        <v>513926</v>
      </c>
      <c r="B10436" s="6" t="s">
        <v>10211</v>
      </c>
    </row>
    <row r="10437" spans="1:2" x14ac:dyDescent="0.3">
      <c r="A10437" s="7" t="str">
        <f>HYPERLINK("http://www.eatonpowersource.com/products/details/513927","513927")</f>
        <v>513927</v>
      </c>
      <c r="B10437" s="8" t="s">
        <v>10211</v>
      </c>
    </row>
    <row r="10438" spans="1:2" x14ac:dyDescent="0.3">
      <c r="A10438" s="5" t="str">
        <f>HYPERLINK("http://www.eatonpowersource.com/products/details/514122","514122")</f>
        <v>514122</v>
      </c>
      <c r="B10438" s="6" t="s">
        <v>10215</v>
      </c>
    </row>
    <row r="10439" spans="1:2" x14ac:dyDescent="0.3">
      <c r="A10439" s="7" t="str">
        <f>HYPERLINK("http://www.eatonpowersource.com/products/details/514128","514128")</f>
        <v>514128</v>
      </c>
      <c r="B10439" s="8" t="s">
        <v>10216</v>
      </c>
    </row>
    <row r="10440" spans="1:2" x14ac:dyDescent="0.3">
      <c r="A10440" s="5" t="str">
        <f>HYPERLINK("http://www.eatonpowersource.com/products/details/5147-020-a","5147-020-A")</f>
        <v>5147-020-A</v>
      </c>
      <c r="B10440" s="6" t="s">
        <v>10217</v>
      </c>
    </row>
    <row r="10441" spans="1:2" x14ac:dyDescent="0.3">
      <c r="A10441" s="7" t="str">
        <f>HYPERLINK("http://www.eatonpowersource.com/products/details/515721","515721")</f>
        <v>515721</v>
      </c>
      <c r="B10441" s="8" t="s">
        <v>10218</v>
      </c>
    </row>
    <row r="10442" spans="1:2" x14ac:dyDescent="0.3">
      <c r="A10442" s="5" t="str">
        <f>HYPERLINK("http://www.eatonpowersource.com/products/details/515760","515760")</f>
        <v>515760</v>
      </c>
      <c r="B10442" s="6" t="s">
        <v>10219</v>
      </c>
    </row>
    <row r="10443" spans="1:2" x14ac:dyDescent="0.3">
      <c r="A10443" s="7" t="str">
        <f>HYPERLINK("http://www.eatonpowersource.com/products/details/515957","515957")</f>
        <v>515957</v>
      </c>
      <c r="B10443" s="8" t="s">
        <v>10220</v>
      </c>
    </row>
    <row r="10444" spans="1:2" x14ac:dyDescent="0.3">
      <c r="A10444" s="5" t="str">
        <f>HYPERLINK("http://www.eatonpowersource.com/products/details/515958","515958")</f>
        <v>515958</v>
      </c>
      <c r="B10444" s="6" t="s">
        <v>10220</v>
      </c>
    </row>
    <row r="10445" spans="1:2" x14ac:dyDescent="0.3">
      <c r="A10445" s="7" t="str">
        <f>HYPERLINK("http://www.eatonpowersource.com/products/details/515959","515959")</f>
        <v>515959</v>
      </c>
      <c r="B10445" s="8" t="s">
        <v>10220</v>
      </c>
    </row>
    <row r="10446" spans="1:2" x14ac:dyDescent="0.3">
      <c r="A10446" s="5" t="str">
        <f>HYPERLINK("http://www.eatonpowersource.com/products/details/5170-7.000","5170-7.000")</f>
        <v>5170-7.000</v>
      </c>
      <c r="B10446" s="6" t="s">
        <v>10221</v>
      </c>
    </row>
    <row r="10447" spans="1:2" x14ac:dyDescent="0.3">
      <c r="A10447" s="7" t="str">
        <f>HYPERLINK("http://www.eatonpowersource.com/products/details/5170-8.000","5170-8.000")</f>
        <v>5170-8.000</v>
      </c>
      <c r="B10447" s="8" t="s">
        <v>10222</v>
      </c>
    </row>
    <row r="10448" spans="1:2" x14ac:dyDescent="0.3">
      <c r="A10448" s="5" t="str">
        <f>HYPERLINK("http://www.eatonpowersource.com/products/details/522955","522955")</f>
        <v>522955</v>
      </c>
      <c r="B10448" s="6" t="s">
        <v>10223</v>
      </c>
    </row>
    <row r="10449" spans="1:2" x14ac:dyDescent="0.3">
      <c r="A10449" s="7" t="str">
        <f>HYPERLINK("http://www.eatonpowersource.com/products/details/524271","524271")</f>
        <v>524271</v>
      </c>
      <c r="B10449" s="8" t="s">
        <v>10224</v>
      </c>
    </row>
    <row r="10450" spans="1:2" x14ac:dyDescent="0.3">
      <c r="A10450" s="5" t="str">
        <f>HYPERLINK("http://www.eatonpowersource.com/products/details/524589","524589")</f>
        <v>524589</v>
      </c>
      <c r="B10450" s="6" t="s">
        <v>10160</v>
      </c>
    </row>
    <row r="10451" spans="1:2" x14ac:dyDescent="0.3">
      <c r="A10451" s="7" t="str">
        <f>HYPERLINK("http://www.eatonpowersource.com/products/details/525747","525747")</f>
        <v>525747</v>
      </c>
      <c r="B10451" s="8" t="s">
        <v>10225</v>
      </c>
    </row>
    <row r="10452" spans="1:2" x14ac:dyDescent="0.3">
      <c r="A10452" s="5" t="str">
        <f>HYPERLINK("http://www.eatonpowersource.com/products/details/525748","525748")</f>
        <v>525748</v>
      </c>
      <c r="B10452" s="6" t="s">
        <v>10226</v>
      </c>
    </row>
    <row r="10453" spans="1:2" x14ac:dyDescent="0.3">
      <c r="A10453" s="7" t="str">
        <f>HYPERLINK("http://www.eatonpowersource.com/products/details/526616","526616")</f>
        <v>526616</v>
      </c>
      <c r="B10453" s="8" t="s">
        <v>10227</v>
      </c>
    </row>
    <row r="10454" spans="1:2" x14ac:dyDescent="0.3">
      <c r="A10454" s="5" t="str">
        <f>HYPERLINK("http://www.eatonpowersource.com/products/details/526627","526627")</f>
        <v>526627</v>
      </c>
      <c r="B10454" s="6" t="s">
        <v>9962</v>
      </c>
    </row>
    <row r="10455" spans="1:2" x14ac:dyDescent="0.3">
      <c r="A10455" s="7" t="str">
        <f>HYPERLINK("http://www.eatonpowersource.com/products/details/526628","526628")</f>
        <v>526628</v>
      </c>
      <c r="B10455" s="8" t="s">
        <v>10228</v>
      </c>
    </row>
    <row r="10456" spans="1:2" x14ac:dyDescent="0.3">
      <c r="A10456" s="5" t="str">
        <f>HYPERLINK("http://www.eatonpowersource.com/products/details/526637","526637")</f>
        <v>526637</v>
      </c>
      <c r="B10456" s="6" t="s">
        <v>10229</v>
      </c>
    </row>
    <row r="10457" spans="1:2" x14ac:dyDescent="0.3">
      <c r="A10457" s="7" t="str">
        <f>HYPERLINK("http://www.eatonpowersource.com/products/details/526651","526651")</f>
        <v>526651</v>
      </c>
      <c r="B10457" s="8" t="s">
        <v>10207</v>
      </c>
    </row>
    <row r="10458" spans="1:2" x14ac:dyDescent="0.3">
      <c r="A10458" s="5" t="str">
        <f>HYPERLINK("http://www.eatonpowersource.com/products/details/526652","526652")</f>
        <v>526652</v>
      </c>
      <c r="B10458" s="6" t="s">
        <v>10230</v>
      </c>
    </row>
    <row r="10459" spans="1:2" x14ac:dyDescent="0.3">
      <c r="A10459" s="7" t="str">
        <f>HYPERLINK("http://www.eatonpowersource.com/products/details/526665","526665")</f>
        <v>526665</v>
      </c>
      <c r="B10459" s="8" t="s">
        <v>9653</v>
      </c>
    </row>
    <row r="10460" spans="1:2" x14ac:dyDescent="0.3">
      <c r="A10460" s="5" t="str">
        <f>HYPERLINK("http://www.eatonpowersource.com/products/details/526667","526667")</f>
        <v>526667</v>
      </c>
      <c r="B10460" s="6" t="s">
        <v>10231</v>
      </c>
    </row>
    <row r="10461" spans="1:2" x14ac:dyDescent="0.3">
      <c r="A10461" s="7" t="str">
        <f>HYPERLINK("http://www.eatonpowersource.com/products/details/526668","526668")</f>
        <v>526668</v>
      </c>
      <c r="B10461" s="8" t="s">
        <v>10232</v>
      </c>
    </row>
    <row r="10462" spans="1:2" x14ac:dyDescent="0.3">
      <c r="A10462" s="5" t="str">
        <f>HYPERLINK("http://www.eatonpowersource.com/products/details/526682","526682")</f>
        <v>526682</v>
      </c>
      <c r="B10462" s="6" t="s">
        <v>10233</v>
      </c>
    </row>
    <row r="10463" spans="1:2" x14ac:dyDescent="0.3">
      <c r="A10463" s="7" t="str">
        <f>HYPERLINK("http://www.eatonpowersource.com/products/details/526685","526685")</f>
        <v>526685</v>
      </c>
      <c r="B10463" s="8" t="s">
        <v>10232</v>
      </c>
    </row>
    <row r="10464" spans="1:2" x14ac:dyDescent="0.3">
      <c r="A10464" s="5" t="str">
        <f>HYPERLINK("http://www.eatonpowersource.com/products/details/526686","526686")</f>
        <v>526686</v>
      </c>
      <c r="B10464" s="6" t="s">
        <v>10234</v>
      </c>
    </row>
    <row r="10465" spans="1:2" x14ac:dyDescent="0.3">
      <c r="A10465" s="7" t="str">
        <f>HYPERLINK("http://www.eatonpowersource.com/products/details/526689","526689")</f>
        <v>526689</v>
      </c>
      <c r="B10465" s="8" t="s">
        <v>10232</v>
      </c>
    </row>
    <row r="10466" spans="1:2" x14ac:dyDescent="0.3">
      <c r="A10466" s="5" t="str">
        <f>HYPERLINK("http://www.eatonpowersource.com/products/details/526690","526690")</f>
        <v>526690</v>
      </c>
      <c r="B10466" s="6" t="s">
        <v>10235</v>
      </c>
    </row>
    <row r="10467" spans="1:2" x14ac:dyDescent="0.3">
      <c r="A10467" s="7" t="str">
        <f>HYPERLINK("http://www.eatonpowersource.com/products/details/526694","526694")</f>
        <v>526694</v>
      </c>
      <c r="B10467" s="8" t="s">
        <v>10236</v>
      </c>
    </row>
    <row r="10468" spans="1:2" x14ac:dyDescent="0.3">
      <c r="A10468" s="5" t="str">
        <f>HYPERLINK("http://www.eatonpowersource.com/products/details/526696","526696")</f>
        <v>526696</v>
      </c>
      <c r="B10468" s="6" t="s">
        <v>10237</v>
      </c>
    </row>
    <row r="10469" spans="1:2" x14ac:dyDescent="0.3">
      <c r="A10469" s="7" t="str">
        <f>HYPERLINK("http://www.eatonpowersource.com/products/details/526752","526752")</f>
        <v>526752</v>
      </c>
      <c r="B10469" s="8" t="s">
        <v>10205</v>
      </c>
    </row>
    <row r="10470" spans="1:2" x14ac:dyDescent="0.3">
      <c r="A10470" s="5" t="str">
        <f>HYPERLINK("http://www.eatonpowersource.com/products/details/526753","526753")</f>
        <v>526753</v>
      </c>
      <c r="B10470" s="6" t="s">
        <v>10238</v>
      </c>
    </row>
    <row r="10471" spans="1:2" x14ac:dyDescent="0.3">
      <c r="A10471" s="7" t="str">
        <f>HYPERLINK("http://www.eatonpowersource.com/products/details/526754","526754")</f>
        <v>526754</v>
      </c>
      <c r="B10471" s="8" t="s">
        <v>10228</v>
      </c>
    </row>
    <row r="10472" spans="1:2" x14ac:dyDescent="0.3">
      <c r="A10472" s="5" t="str">
        <f>HYPERLINK("http://www.eatonpowersource.com/products/details/527163","527163")</f>
        <v>527163</v>
      </c>
      <c r="B10472" s="6" t="s">
        <v>10239</v>
      </c>
    </row>
    <row r="10473" spans="1:2" x14ac:dyDescent="0.3">
      <c r="A10473" s="7" t="str">
        <f>HYPERLINK("http://www.eatonpowersource.com/products/details/527164","527164")</f>
        <v>527164</v>
      </c>
      <c r="B10473" s="8" t="s">
        <v>10240</v>
      </c>
    </row>
    <row r="10474" spans="1:2" x14ac:dyDescent="0.3">
      <c r="A10474" s="5" t="str">
        <f>HYPERLINK("http://www.eatonpowersource.com/products/details/527166","527166")</f>
        <v>527166</v>
      </c>
      <c r="B10474" s="6" t="s">
        <v>10241</v>
      </c>
    </row>
    <row r="10475" spans="1:2" x14ac:dyDescent="0.3">
      <c r="A10475" s="7" t="str">
        <f>HYPERLINK("http://www.eatonpowersource.com/products/details/527167","527167")</f>
        <v>527167</v>
      </c>
      <c r="B10475" s="8" t="s">
        <v>10055</v>
      </c>
    </row>
    <row r="10476" spans="1:2" x14ac:dyDescent="0.3">
      <c r="A10476" s="5" t="str">
        <f>HYPERLINK("http://www.eatonpowersource.com/products/details/527823","527823")</f>
        <v>527823</v>
      </c>
      <c r="B10476" s="6" t="s">
        <v>10242</v>
      </c>
    </row>
    <row r="10477" spans="1:2" x14ac:dyDescent="0.3">
      <c r="A10477" s="7" t="str">
        <f>HYPERLINK("http://www.eatonpowersource.com/products/details/527923","527923")</f>
        <v>527923</v>
      </c>
      <c r="B10477" s="8" t="s">
        <v>10243</v>
      </c>
    </row>
    <row r="10478" spans="1:2" x14ac:dyDescent="0.3">
      <c r="A10478" s="5" t="str">
        <f>HYPERLINK("http://www.eatonpowersource.com/products/details/527925","527925")</f>
        <v>527925</v>
      </c>
      <c r="B10478" s="6" t="s">
        <v>10224</v>
      </c>
    </row>
    <row r="10479" spans="1:2" x14ac:dyDescent="0.3">
      <c r="A10479" s="7" t="str">
        <f>HYPERLINK("http://www.eatonpowersource.com/products/details/527983","527983")</f>
        <v>527983</v>
      </c>
      <c r="B10479" s="8" t="s">
        <v>10244</v>
      </c>
    </row>
    <row r="10480" spans="1:2" x14ac:dyDescent="0.3">
      <c r="A10480" s="5" t="str">
        <f>HYPERLINK("http://www.eatonpowersource.com/products/details/527984","527984")</f>
        <v>527984</v>
      </c>
      <c r="B10480" s="6" t="s">
        <v>2797</v>
      </c>
    </row>
    <row r="10481" spans="1:2" x14ac:dyDescent="0.3">
      <c r="A10481" s="7" t="str">
        <f>HYPERLINK("http://www.eatonpowersource.com/products/details/531345","531345")</f>
        <v>531345</v>
      </c>
      <c r="B10481" s="8" t="s">
        <v>10245</v>
      </c>
    </row>
    <row r="10482" spans="1:2" x14ac:dyDescent="0.3">
      <c r="A10482" s="5" t="str">
        <f>HYPERLINK("http://www.eatonpowersource.com/products/details/534569","534569")</f>
        <v>534569</v>
      </c>
      <c r="B10482" s="6" t="s">
        <v>10246</v>
      </c>
    </row>
    <row r="10483" spans="1:2" x14ac:dyDescent="0.3">
      <c r="A10483" s="7" t="str">
        <f>HYPERLINK("http://www.eatonpowersource.com/products/details/534576","534576")</f>
        <v>534576</v>
      </c>
      <c r="B10483" s="8" t="s">
        <v>10247</v>
      </c>
    </row>
    <row r="10484" spans="1:2" x14ac:dyDescent="0.3">
      <c r="A10484" s="5" t="str">
        <f>HYPERLINK("http://www.eatonpowersource.com/products/details/544103","544103")</f>
        <v>544103</v>
      </c>
      <c r="B10484" s="6" t="s">
        <v>10248</v>
      </c>
    </row>
    <row r="10485" spans="1:2" x14ac:dyDescent="0.3">
      <c r="A10485" s="7" t="str">
        <f>HYPERLINK("http://www.eatonpowersource.com/products/details/565108","565108")</f>
        <v>565108</v>
      </c>
      <c r="B10485" s="8" t="s">
        <v>10249</v>
      </c>
    </row>
    <row r="10486" spans="1:2" x14ac:dyDescent="0.3">
      <c r="A10486" s="5" t="str">
        <f>HYPERLINK("http://www.eatonpowersource.com/products/details/565110","565110")</f>
        <v>565110</v>
      </c>
      <c r="B10486" s="6" t="s">
        <v>10250</v>
      </c>
    </row>
    <row r="10487" spans="1:2" x14ac:dyDescent="0.3">
      <c r="A10487" s="7" t="str">
        <f>HYPERLINK("http://www.eatonpowersource.com/products/details/565142","565142")</f>
        <v>565142</v>
      </c>
      <c r="B10487" s="8" t="s">
        <v>10251</v>
      </c>
    </row>
    <row r="10488" spans="1:2" x14ac:dyDescent="0.3">
      <c r="A10488" s="5" t="str">
        <f>HYPERLINK("http://www.eatonpowersource.com/products/details/565143","565143")</f>
        <v>565143</v>
      </c>
      <c r="B10488" s="6" t="s">
        <v>10252</v>
      </c>
    </row>
    <row r="10489" spans="1:2" x14ac:dyDescent="0.3">
      <c r="A10489" s="7" t="str">
        <f>HYPERLINK("http://www.eatonpowersource.com/products/details/565144","565144")</f>
        <v>565144</v>
      </c>
      <c r="B10489" s="8" t="s">
        <v>10253</v>
      </c>
    </row>
    <row r="10490" spans="1:2" x14ac:dyDescent="0.3">
      <c r="A10490" s="5" t="str">
        <f>HYPERLINK("http://www.eatonpowersource.com/products/details/565145","565145")</f>
        <v>565145</v>
      </c>
      <c r="B10490" s="6" t="s">
        <v>10254</v>
      </c>
    </row>
    <row r="10491" spans="1:2" x14ac:dyDescent="0.3">
      <c r="A10491" s="7" t="str">
        <f>HYPERLINK("http://www.eatonpowersource.com/products/details/575476","575476")</f>
        <v>575476</v>
      </c>
      <c r="B10491" s="8" t="s">
        <v>10255</v>
      </c>
    </row>
    <row r="10492" spans="1:2" x14ac:dyDescent="0.3">
      <c r="A10492" s="5" t="str">
        <f>HYPERLINK("http://www.eatonpowersource.com/products/details/580426","580426")</f>
        <v>580426</v>
      </c>
      <c r="B10492" s="6" t="s">
        <v>9979</v>
      </c>
    </row>
    <row r="10493" spans="1:2" x14ac:dyDescent="0.3">
      <c r="A10493" s="7" t="str">
        <f>HYPERLINK("http://www.eatonpowersource.com/products/details/580427","580427")</f>
        <v>580427</v>
      </c>
      <c r="B10493" s="8" t="s">
        <v>9657</v>
      </c>
    </row>
    <row r="10494" spans="1:2" x14ac:dyDescent="0.3">
      <c r="A10494" s="5" t="str">
        <f>HYPERLINK("http://www.eatonpowersource.com/products/details/581072","581072")</f>
        <v>581072</v>
      </c>
      <c r="B10494" s="6" t="s">
        <v>9653</v>
      </c>
    </row>
    <row r="10495" spans="1:2" x14ac:dyDescent="0.3">
      <c r="A10495" s="7" t="str">
        <f>HYPERLINK("http://www.eatonpowersource.com/products/details/581073","581073")</f>
        <v>581073</v>
      </c>
      <c r="B10495" s="8" t="s">
        <v>9653</v>
      </c>
    </row>
    <row r="10496" spans="1:2" x14ac:dyDescent="0.3">
      <c r="A10496" s="5" t="str">
        <f>HYPERLINK("http://www.eatonpowersource.com/products/details/581734","581734")</f>
        <v>581734</v>
      </c>
      <c r="B10496" s="6" t="s">
        <v>10256</v>
      </c>
    </row>
    <row r="10497" spans="1:2" x14ac:dyDescent="0.3">
      <c r="A10497" s="7" t="str">
        <f>HYPERLINK("http://www.eatonpowersource.com/products/details/581833","581833")</f>
        <v>581833</v>
      </c>
      <c r="B10497" s="8" t="s">
        <v>10257</v>
      </c>
    </row>
    <row r="10498" spans="1:2" x14ac:dyDescent="0.3">
      <c r="A10498" s="5" t="str">
        <f>HYPERLINK("http://www.eatonpowersource.com/products/details/582610","582610")</f>
        <v>582610</v>
      </c>
      <c r="B10498" s="6" t="s">
        <v>10258</v>
      </c>
    </row>
    <row r="10499" spans="1:2" x14ac:dyDescent="0.3">
      <c r="A10499" s="7" t="str">
        <f>HYPERLINK("http://www.eatonpowersource.com/products/details/583937","583937")</f>
        <v>583937</v>
      </c>
      <c r="B10499" s="8" t="s">
        <v>9653</v>
      </c>
    </row>
    <row r="10500" spans="1:2" x14ac:dyDescent="0.3">
      <c r="A10500" s="5" t="str">
        <f>HYPERLINK("http://www.eatonpowersource.com/products/details/584455","584455")</f>
        <v>584455</v>
      </c>
      <c r="B10500" s="6" t="s">
        <v>9653</v>
      </c>
    </row>
    <row r="10501" spans="1:2" x14ac:dyDescent="0.3">
      <c r="A10501" s="7" t="str">
        <f>HYPERLINK("http://www.eatonpowersource.com/products/details/584540","584540")</f>
        <v>584540</v>
      </c>
      <c r="B10501" s="8" t="s">
        <v>10259</v>
      </c>
    </row>
    <row r="10502" spans="1:2" x14ac:dyDescent="0.3">
      <c r="A10502" s="5" t="str">
        <f>HYPERLINK("http://www.eatonpowersource.com/products/details/584924","584924")</f>
        <v>584924</v>
      </c>
      <c r="B10502" s="6" t="s">
        <v>10109</v>
      </c>
    </row>
    <row r="10503" spans="1:2" x14ac:dyDescent="0.3">
      <c r="A10503" s="7" t="str">
        <f>HYPERLINK("http://www.eatonpowersource.com/products/details/585658","585658")</f>
        <v>585658</v>
      </c>
      <c r="B10503" s="8" t="s">
        <v>10109</v>
      </c>
    </row>
    <row r="10504" spans="1:2" x14ac:dyDescent="0.3">
      <c r="A10504" s="5" t="str">
        <f>HYPERLINK("http://www.eatonpowersource.com/products/details/586131","586131")</f>
        <v>586131</v>
      </c>
      <c r="B10504" s="6" t="s">
        <v>10260</v>
      </c>
    </row>
    <row r="10505" spans="1:2" x14ac:dyDescent="0.3">
      <c r="A10505" s="7" t="str">
        <f>HYPERLINK("http://www.eatonpowersource.com/products/details/589093","589093")</f>
        <v>589093</v>
      </c>
      <c r="B10505" s="8" t="s">
        <v>10041</v>
      </c>
    </row>
    <row r="10506" spans="1:2" x14ac:dyDescent="0.3">
      <c r="A10506" s="5" t="str">
        <f>HYPERLINK("http://www.eatonpowersource.com/products/details/590705","590705")</f>
        <v>590705</v>
      </c>
      <c r="B10506" s="6" t="s">
        <v>10261</v>
      </c>
    </row>
    <row r="10507" spans="1:2" x14ac:dyDescent="0.3">
      <c r="A10507" s="7" t="str">
        <f>HYPERLINK("http://www.eatonpowersource.com/products/details/590716","590716")</f>
        <v>590716</v>
      </c>
      <c r="B10507" s="8" t="s">
        <v>10262</v>
      </c>
    </row>
    <row r="10508" spans="1:2" x14ac:dyDescent="0.3">
      <c r="A10508" s="5" t="str">
        <f>HYPERLINK("http://www.eatonpowersource.com/products/details/596445","596445")</f>
        <v>596445</v>
      </c>
      <c r="B10508" s="6" t="s">
        <v>10263</v>
      </c>
    </row>
    <row r="10509" spans="1:2" x14ac:dyDescent="0.3">
      <c r="A10509" s="7" t="str">
        <f>HYPERLINK("http://www.eatonpowersource.com/products/details/5986572-001","5986572-001")</f>
        <v>5986572-001</v>
      </c>
      <c r="B10509" s="8" t="s">
        <v>10264</v>
      </c>
    </row>
    <row r="10510" spans="1:2" x14ac:dyDescent="0.3">
      <c r="A10510" s="5" t="str">
        <f>HYPERLINK("http://www.eatonpowersource.com/products/details/5986574-001","5986574-001")</f>
        <v>5986574-001</v>
      </c>
      <c r="B10510" s="6" t="s">
        <v>10265</v>
      </c>
    </row>
    <row r="10511" spans="1:2" x14ac:dyDescent="0.3">
      <c r="A10511" s="7" t="str">
        <f>HYPERLINK("http://www.eatonpowersource.com/products/details/5986576-001","5986576-001")</f>
        <v>5986576-001</v>
      </c>
      <c r="B10511" s="8" t="s">
        <v>10266</v>
      </c>
    </row>
    <row r="10512" spans="1:2" x14ac:dyDescent="0.3">
      <c r="A10512" s="5" t="str">
        <f>HYPERLINK("http://www.eatonpowersource.com/products/details/5993681-001","5993681-001")</f>
        <v>5993681-001</v>
      </c>
      <c r="B10512" s="6" t="s">
        <v>10267</v>
      </c>
    </row>
    <row r="10513" spans="1:2" x14ac:dyDescent="0.3">
      <c r="A10513" s="7" t="str">
        <f>HYPERLINK("http://www.eatonpowersource.com/products/details/5993693-001","5993693-001")</f>
        <v>5993693-001</v>
      </c>
      <c r="B10513" s="8" t="s">
        <v>10268</v>
      </c>
    </row>
    <row r="10514" spans="1:2" x14ac:dyDescent="0.3">
      <c r="A10514" s="5" t="str">
        <f>HYPERLINK("http://www.eatonpowersource.com/products/details/5993712-001","5993712-001")</f>
        <v>5993712-001</v>
      </c>
      <c r="B10514" s="6" t="s">
        <v>10269</v>
      </c>
    </row>
    <row r="10515" spans="1:2" x14ac:dyDescent="0.3">
      <c r="A10515" s="7" t="str">
        <f>HYPERLINK("http://www.eatonpowersource.com/products/details/5996868-001","5996868-001")</f>
        <v>5996868-001</v>
      </c>
      <c r="B10515" s="8" t="s">
        <v>10270</v>
      </c>
    </row>
    <row r="10516" spans="1:2" x14ac:dyDescent="0.3">
      <c r="A10516" s="5" t="str">
        <f>HYPERLINK("http://www.eatonpowersource.com/products/details/6042884-001","6042884-001")</f>
        <v>6042884-001</v>
      </c>
      <c r="B10516" s="6" t="s">
        <v>10271</v>
      </c>
    </row>
    <row r="10517" spans="1:2" x14ac:dyDescent="0.3">
      <c r="A10517" s="7" t="str">
        <f>HYPERLINK("http://www.eatonpowersource.com/products/details/6042884-002","6042884-002")</f>
        <v>6042884-002</v>
      </c>
      <c r="B10517" s="8" t="s">
        <v>10272</v>
      </c>
    </row>
    <row r="10518" spans="1:2" x14ac:dyDescent="0.3">
      <c r="A10518" s="5" t="str">
        <f>HYPERLINK("http://www.eatonpowersource.com/products/details/6042884-003","6042884-003")</f>
        <v>6042884-003</v>
      </c>
      <c r="B10518" s="6" t="s">
        <v>10273</v>
      </c>
    </row>
    <row r="10519" spans="1:2" x14ac:dyDescent="0.3">
      <c r="A10519" s="7" t="str">
        <f>HYPERLINK("http://www.eatonpowersource.com/products/details/6042884-004","6042884-004")</f>
        <v>6042884-004</v>
      </c>
      <c r="B10519" s="8" t="s">
        <v>10274</v>
      </c>
    </row>
    <row r="10520" spans="1:2" x14ac:dyDescent="0.3">
      <c r="A10520" s="5" t="str">
        <f>HYPERLINK("http://www.eatonpowersource.com/products/details/6042884-005","6042884-005")</f>
        <v>6042884-005</v>
      </c>
      <c r="B10520" s="6" t="s">
        <v>10275</v>
      </c>
    </row>
    <row r="10521" spans="1:2" x14ac:dyDescent="0.3">
      <c r="A10521" s="7" t="str">
        <f>HYPERLINK("http://www.eatonpowersource.com/products/details/6042884-006","6042884-006")</f>
        <v>6042884-006</v>
      </c>
      <c r="B10521" s="8" t="s">
        <v>10276</v>
      </c>
    </row>
    <row r="10522" spans="1:2" x14ac:dyDescent="0.3">
      <c r="A10522" s="5" t="str">
        <f>HYPERLINK("http://www.eatonpowersource.com/products/details/6042884-007","6042884-007")</f>
        <v>6042884-007</v>
      </c>
      <c r="B10522" s="6" t="s">
        <v>10277</v>
      </c>
    </row>
    <row r="10523" spans="1:2" x14ac:dyDescent="0.3">
      <c r="A10523" s="7" t="str">
        <f>HYPERLINK("http://www.eatonpowersource.com/products/details/6042884-008","6042884-008")</f>
        <v>6042884-008</v>
      </c>
      <c r="B10523" s="8" t="s">
        <v>10278</v>
      </c>
    </row>
    <row r="10524" spans="1:2" x14ac:dyDescent="0.3">
      <c r="A10524" s="5" t="str">
        <f>HYPERLINK("http://www.eatonpowersource.com/products/details/6042884-009","6042884-009")</f>
        <v>6042884-009</v>
      </c>
      <c r="B10524" s="6" t="s">
        <v>10279</v>
      </c>
    </row>
    <row r="10525" spans="1:2" x14ac:dyDescent="0.3">
      <c r="A10525" s="7" t="str">
        <f>HYPERLINK("http://www.eatonpowersource.com/products/details/6042884-010","6042884-010")</f>
        <v>6042884-010</v>
      </c>
      <c r="B10525" s="8" t="s">
        <v>10280</v>
      </c>
    </row>
    <row r="10526" spans="1:2" x14ac:dyDescent="0.3">
      <c r="A10526" s="5" t="str">
        <f>HYPERLINK("http://www.eatonpowersource.com/products/details/6044304-001","6044304-001")</f>
        <v>6044304-001</v>
      </c>
      <c r="B10526" s="6" t="s">
        <v>10281</v>
      </c>
    </row>
    <row r="10527" spans="1:2" x14ac:dyDescent="0.3">
      <c r="A10527" s="7" t="str">
        <f>HYPERLINK("http://www.eatonpowersource.com/products/details/61275-000","61275-000")</f>
        <v>61275-000</v>
      </c>
      <c r="B10527" s="8" t="s">
        <v>10282</v>
      </c>
    </row>
    <row r="10528" spans="1:2" x14ac:dyDescent="0.3">
      <c r="A10528" s="5" t="str">
        <f>HYPERLINK("http://www.eatonpowersource.com/products/details/614824","614824")</f>
        <v>614824</v>
      </c>
      <c r="B10528" s="6" t="s">
        <v>10283</v>
      </c>
    </row>
    <row r="10529" spans="1:2" x14ac:dyDescent="0.3">
      <c r="A10529" s="7" t="str">
        <f>HYPERLINK("http://www.eatonpowersource.com/products/details/614826","614826")</f>
        <v>614826</v>
      </c>
      <c r="B10529" s="8" t="s">
        <v>10284</v>
      </c>
    </row>
    <row r="10530" spans="1:2" x14ac:dyDescent="0.3">
      <c r="A10530" s="5" t="str">
        <f>HYPERLINK("http://www.eatonpowersource.com/products/details/614928","614928")</f>
        <v>614928</v>
      </c>
      <c r="B10530" s="6" t="s">
        <v>10285</v>
      </c>
    </row>
    <row r="10531" spans="1:2" x14ac:dyDescent="0.3">
      <c r="A10531" s="7" t="str">
        <f>HYPERLINK("http://www.eatonpowersource.com/products/details/614929","614929")</f>
        <v>614929</v>
      </c>
      <c r="B10531" s="8" t="s">
        <v>10286</v>
      </c>
    </row>
    <row r="10532" spans="1:2" x14ac:dyDescent="0.3">
      <c r="A10532" s="5" t="str">
        <f>HYPERLINK("http://www.eatonpowersource.com/products/details/614930","614930")</f>
        <v>614930</v>
      </c>
      <c r="B10532" s="6" t="s">
        <v>10287</v>
      </c>
    </row>
    <row r="10533" spans="1:2" x14ac:dyDescent="0.3">
      <c r="A10533" s="7" t="str">
        <f>HYPERLINK("http://www.eatonpowersource.com/products/details/614931","614931")</f>
        <v>614931</v>
      </c>
      <c r="B10533" s="8" t="s">
        <v>10288</v>
      </c>
    </row>
    <row r="10534" spans="1:2" x14ac:dyDescent="0.3">
      <c r="A10534" s="5" t="str">
        <f>HYPERLINK("http://www.eatonpowersource.com/products/details/614934","614934")</f>
        <v>614934</v>
      </c>
      <c r="B10534" s="6" t="s">
        <v>10289</v>
      </c>
    </row>
    <row r="10535" spans="1:2" x14ac:dyDescent="0.3">
      <c r="A10535" s="7" t="str">
        <f>HYPERLINK("http://www.eatonpowersource.com/products/details/614936","614936")</f>
        <v>614936</v>
      </c>
      <c r="B10535" s="8" t="s">
        <v>10290</v>
      </c>
    </row>
    <row r="10536" spans="1:2" x14ac:dyDescent="0.3">
      <c r="A10536" s="5" t="str">
        <f>HYPERLINK("http://www.eatonpowersource.com/products/details/614937","614937")</f>
        <v>614937</v>
      </c>
      <c r="B10536" s="6" t="s">
        <v>10291</v>
      </c>
    </row>
    <row r="10537" spans="1:2" x14ac:dyDescent="0.3">
      <c r="A10537" s="7" t="str">
        <f>HYPERLINK("http://www.eatonpowersource.com/products/details/615819","615819")</f>
        <v>615819</v>
      </c>
      <c r="B10537" s="8" t="s">
        <v>10292</v>
      </c>
    </row>
    <row r="10538" spans="1:2" x14ac:dyDescent="0.3">
      <c r="A10538" s="5" t="str">
        <f>HYPERLINK("http://www.eatonpowersource.com/products/details/616989","616989")</f>
        <v>616989</v>
      </c>
      <c r="B10538" s="6" t="s">
        <v>10293</v>
      </c>
    </row>
    <row r="10539" spans="1:2" x14ac:dyDescent="0.3">
      <c r="A10539" s="7" t="str">
        <f>HYPERLINK("http://www.eatonpowersource.com/products/details/617195","617195")</f>
        <v>617195</v>
      </c>
      <c r="B10539" s="8" t="s">
        <v>10294</v>
      </c>
    </row>
    <row r="10540" spans="1:2" x14ac:dyDescent="0.3">
      <c r="A10540" s="5" t="str">
        <f>HYPERLINK("http://www.eatonpowersource.com/products/details/617470","617470")</f>
        <v>617470</v>
      </c>
      <c r="B10540" s="6" t="s">
        <v>10295</v>
      </c>
    </row>
    <row r="10541" spans="1:2" x14ac:dyDescent="0.3">
      <c r="A10541" s="7" t="str">
        <f>HYPERLINK("http://www.eatonpowersource.com/products/details/617471","617471")</f>
        <v>617471</v>
      </c>
      <c r="B10541" s="8" t="s">
        <v>10296</v>
      </c>
    </row>
    <row r="10542" spans="1:2" x14ac:dyDescent="0.3">
      <c r="A10542" s="5" t="str">
        <f>HYPERLINK("http://www.eatonpowersource.com/products/details/617475","617475")</f>
        <v>617475</v>
      </c>
      <c r="B10542" s="6" t="s">
        <v>10297</v>
      </c>
    </row>
    <row r="10543" spans="1:2" x14ac:dyDescent="0.3">
      <c r="A10543" s="7" t="str">
        <f>HYPERLINK("http://www.eatonpowersource.com/products/details/617476","617476")</f>
        <v>617476</v>
      </c>
      <c r="B10543" s="8" t="s">
        <v>10298</v>
      </c>
    </row>
    <row r="10544" spans="1:2" x14ac:dyDescent="0.3">
      <c r="A10544" s="5" t="str">
        <f>HYPERLINK("http://www.eatonpowersource.com/products/details/617477","617477")</f>
        <v>617477</v>
      </c>
      <c r="B10544" s="6" t="s">
        <v>10299</v>
      </c>
    </row>
    <row r="10545" spans="1:2" x14ac:dyDescent="0.3">
      <c r="A10545" s="7" t="str">
        <f>HYPERLINK("http://www.eatonpowersource.com/products/details/617499","617499")</f>
        <v>617499</v>
      </c>
      <c r="B10545" s="8" t="s">
        <v>10300</v>
      </c>
    </row>
    <row r="10546" spans="1:2" x14ac:dyDescent="0.3">
      <c r="A10546" s="5" t="str">
        <f>HYPERLINK("http://www.eatonpowersource.com/products/details/617500","617500")</f>
        <v>617500</v>
      </c>
      <c r="B10546" s="6" t="s">
        <v>10301</v>
      </c>
    </row>
    <row r="10547" spans="1:2" x14ac:dyDescent="0.3">
      <c r="A10547" s="7" t="str">
        <f>HYPERLINK("http://www.eatonpowersource.com/products/details/617539","617539")</f>
        <v>617539</v>
      </c>
      <c r="B10547" s="8" t="s">
        <v>10302</v>
      </c>
    </row>
    <row r="10548" spans="1:2" x14ac:dyDescent="0.3">
      <c r="A10548" s="5" t="str">
        <f>HYPERLINK("http://www.eatonpowersource.com/products/details/617540","617540")</f>
        <v>617540</v>
      </c>
      <c r="B10548" s="6" t="s">
        <v>10303</v>
      </c>
    </row>
    <row r="10549" spans="1:2" x14ac:dyDescent="0.3">
      <c r="A10549" s="7" t="str">
        <f>HYPERLINK("http://www.eatonpowersource.com/products/details/617854","617854")</f>
        <v>617854</v>
      </c>
      <c r="B10549" s="8" t="s">
        <v>10304</v>
      </c>
    </row>
    <row r="10550" spans="1:2" x14ac:dyDescent="0.3">
      <c r="A10550" s="5" t="str">
        <f>HYPERLINK("http://www.eatonpowersource.com/products/details/617863","617863")</f>
        <v>617863</v>
      </c>
      <c r="B10550" s="6" t="s">
        <v>10305</v>
      </c>
    </row>
    <row r="10551" spans="1:2" x14ac:dyDescent="0.3">
      <c r="A10551" s="7" t="str">
        <f>HYPERLINK("http://www.eatonpowersource.com/products/details/617950","617950")</f>
        <v>617950</v>
      </c>
      <c r="B10551" s="8" t="s">
        <v>10306</v>
      </c>
    </row>
    <row r="10552" spans="1:2" x14ac:dyDescent="0.3">
      <c r="A10552" s="5" t="str">
        <f>HYPERLINK("http://www.eatonpowersource.com/products/details/627371","627371")</f>
        <v>627371</v>
      </c>
      <c r="B10552" s="6" t="s">
        <v>10307</v>
      </c>
    </row>
    <row r="10553" spans="1:2" x14ac:dyDescent="0.3">
      <c r="A10553" s="7" t="str">
        <f>HYPERLINK("http://www.eatonpowersource.com/products/details/627437","627437")</f>
        <v>627437</v>
      </c>
      <c r="B10553" s="8" t="s">
        <v>10308</v>
      </c>
    </row>
    <row r="10554" spans="1:2" x14ac:dyDescent="0.3">
      <c r="A10554" s="5" t="str">
        <f>HYPERLINK("http://www.eatonpowersource.com/products/details/627438","627438")</f>
        <v>627438</v>
      </c>
      <c r="B10554" s="6" t="s">
        <v>10309</v>
      </c>
    </row>
    <row r="10555" spans="1:2" x14ac:dyDescent="0.3">
      <c r="A10555" s="7" t="str">
        <f>HYPERLINK("http://www.eatonpowersource.com/products/details/629539","629539")</f>
        <v>629539</v>
      </c>
      <c r="B10555" s="8" t="s">
        <v>10307</v>
      </c>
    </row>
    <row r="10556" spans="1:2" x14ac:dyDescent="0.3">
      <c r="A10556" s="5" t="str">
        <f>HYPERLINK("http://www.eatonpowersource.com/products/details/631476","631476")</f>
        <v>631476</v>
      </c>
      <c r="B10556" s="6" t="s">
        <v>10310</v>
      </c>
    </row>
    <row r="10557" spans="1:2" x14ac:dyDescent="0.3">
      <c r="A10557" s="7" t="str">
        <f>HYPERLINK("http://www.eatonpowersource.com/products/details/6331u-008","6331U-008")</f>
        <v>6331U-008</v>
      </c>
      <c r="B10557" s="8" t="s">
        <v>2797</v>
      </c>
    </row>
    <row r="10558" spans="1:2" x14ac:dyDescent="0.3">
      <c r="A10558" s="5" t="str">
        <f>HYPERLINK("http://www.eatonpowersource.com/products/details/633280","633280")</f>
        <v>633280</v>
      </c>
      <c r="B10558" s="6" t="s">
        <v>10311</v>
      </c>
    </row>
    <row r="10559" spans="1:2" x14ac:dyDescent="0.3">
      <c r="A10559" s="7" t="str">
        <f>HYPERLINK("http://www.eatonpowersource.com/products/details/6332u-007","6332U-007")</f>
        <v>6332U-007</v>
      </c>
      <c r="B10559" s="8" t="s">
        <v>2797</v>
      </c>
    </row>
    <row r="10560" spans="1:2" x14ac:dyDescent="0.3">
      <c r="A10560" s="5" t="str">
        <f>HYPERLINK("http://www.eatonpowersource.com/products/details/6332u-009","6332U-009")</f>
        <v>6332U-009</v>
      </c>
      <c r="B10560" s="6" t="s">
        <v>2797</v>
      </c>
    </row>
    <row r="10561" spans="1:2" x14ac:dyDescent="0.3">
      <c r="A10561" s="7" t="str">
        <f>HYPERLINK("http://www.eatonpowersource.com/products/details/6332u-014","6332U-014")</f>
        <v>6332U-014</v>
      </c>
      <c r="B10561" s="8" t="s">
        <v>2797</v>
      </c>
    </row>
    <row r="10562" spans="1:2" x14ac:dyDescent="0.3">
      <c r="A10562" s="5" t="str">
        <f>HYPERLINK("http://www.eatonpowersource.com/products/details/6332u-026","6332U-026")</f>
        <v>6332U-026</v>
      </c>
      <c r="B10562" s="6" t="s">
        <v>10312</v>
      </c>
    </row>
    <row r="10563" spans="1:2" x14ac:dyDescent="0.3">
      <c r="A10563" s="7" t="str">
        <f>HYPERLINK("http://www.eatonpowersource.com/products/details/6332u-095","6332U-095")</f>
        <v>6332U-095</v>
      </c>
      <c r="B10563" s="8" t="s">
        <v>2797</v>
      </c>
    </row>
    <row r="10564" spans="1:2" x14ac:dyDescent="0.3">
      <c r="A10564" s="5" t="str">
        <f>HYPERLINK("http://www.eatonpowersource.com/products/details/633741","633741")</f>
        <v>633741</v>
      </c>
      <c r="B10564" s="6" t="s">
        <v>10061</v>
      </c>
    </row>
    <row r="10565" spans="1:2" x14ac:dyDescent="0.3">
      <c r="A10565" s="7" t="str">
        <f>HYPERLINK("http://www.eatonpowersource.com/products/details/635061","635061")</f>
        <v>635061</v>
      </c>
      <c r="B10565" s="8" t="s">
        <v>10061</v>
      </c>
    </row>
    <row r="10566" spans="1:2" x14ac:dyDescent="0.3">
      <c r="A10566" s="5" t="str">
        <f>HYPERLINK("http://www.eatonpowersource.com/products/details/635134","635134")</f>
        <v>635134</v>
      </c>
      <c r="B10566" s="6" t="s">
        <v>10313</v>
      </c>
    </row>
    <row r="10567" spans="1:2" x14ac:dyDescent="0.3">
      <c r="A10567" s="7" t="str">
        <f>HYPERLINK("http://www.eatonpowersource.com/products/details/635135","635135")</f>
        <v>635135</v>
      </c>
      <c r="B10567" s="8" t="s">
        <v>10160</v>
      </c>
    </row>
    <row r="10568" spans="1:2" x14ac:dyDescent="0.3">
      <c r="A10568" s="5" t="str">
        <f>HYPERLINK("http://www.eatonpowersource.com/products/details/636894","636894")</f>
        <v>636894</v>
      </c>
      <c r="B10568" s="6" t="s">
        <v>10160</v>
      </c>
    </row>
    <row r="10569" spans="1:2" x14ac:dyDescent="0.3">
      <c r="A10569" s="7" t="str">
        <f>HYPERLINK("http://www.eatonpowersource.com/products/details/636895","636895")</f>
        <v>636895</v>
      </c>
      <c r="B10569" s="8" t="s">
        <v>10160</v>
      </c>
    </row>
    <row r="10570" spans="1:2" x14ac:dyDescent="0.3">
      <c r="A10570" s="5" t="str">
        <f>HYPERLINK("http://www.eatonpowersource.com/products/details/636896","636896")</f>
        <v>636896</v>
      </c>
      <c r="B10570" s="6" t="s">
        <v>10160</v>
      </c>
    </row>
    <row r="10571" spans="1:2" x14ac:dyDescent="0.3">
      <c r="A10571" s="7" t="str">
        <f>HYPERLINK("http://www.eatonpowersource.com/products/details/636897","636897")</f>
        <v>636897</v>
      </c>
      <c r="B10571" s="8" t="s">
        <v>10160</v>
      </c>
    </row>
    <row r="10572" spans="1:2" x14ac:dyDescent="0.3">
      <c r="A10572" s="5" t="str">
        <f>HYPERLINK("http://www.eatonpowersource.com/products/details/637197","637197")</f>
        <v>637197</v>
      </c>
      <c r="B10572" s="6" t="s">
        <v>10314</v>
      </c>
    </row>
    <row r="10573" spans="1:2" x14ac:dyDescent="0.3">
      <c r="A10573" s="7" t="str">
        <f>HYPERLINK("http://www.eatonpowersource.com/products/details/638154","638154")</f>
        <v>638154</v>
      </c>
      <c r="B10573" s="8" t="s">
        <v>10315</v>
      </c>
    </row>
    <row r="10574" spans="1:2" x14ac:dyDescent="0.3">
      <c r="A10574" s="5" t="str">
        <f>HYPERLINK("http://www.eatonpowersource.com/products/details/638532","638532")</f>
        <v>638532</v>
      </c>
      <c r="B10574" s="6" t="s">
        <v>10316</v>
      </c>
    </row>
    <row r="10575" spans="1:2" x14ac:dyDescent="0.3">
      <c r="A10575" s="7" t="str">
        <f>HYPERLINK("http://www.eatonpowersource.com/products/details/638878","638878")</f>
        <v>638878</v>
      </c>
      <c r="B10575" s="8" t="s">
        <v>10317</v>
      </c>
    </row>
    <row r="10576" spans="1:2" x14ac:dyDescent="0.3">
      <c r="A10576" s="5" t="str">
        <f>HYPERLINK("http://www.eatonpowersource.com/products/details/639947","639947")</f>
        <v>639947</v>
      </c>
      <c r="B10576" s="6" t="s">
        <v>10318</v>
      </c>
    </row>
    <row r="10577" spans="1:2" x14ac:dyDescent="0.3">
      <c r="A10577" s="7" t="str">
        <f>HYPERLINK("http://www.eatonpowersource.com/products/details/6533l-tvdg","6533L-TVDG")</f>
        <v>6533L-TVDG</v>
      </c>
      <c r="B10577" s="8" t="s">
        <v>10319</v>
      </c>
    </row>
    <row r="10578" spans="1:2" x14ac:dyDescent="0.3">
      <c r="A10578" s="5" t="str">
        <f>HYPERLINK("http://www.eatonpowersource.com/products/details/6533l-tvej","6533L-TVEJ")</f>
        <v>6533L-TVEJ</v>
      </c>
      <c r="B10578" s="6" t="s">
        <v>10319</v>
      </c>
    </row>
    <row r="10579" spans="1:2" x14ac:dyDescent="0.3">
      <c r="A10579" s="7" t="str">
        <f>HYPERLINK("http://www.eatonpowersource.com/products/details/6533l-tznz","6533L-TZNZ")</f>
        <v>6533L-TZNZ</v>
      </c>
      <c r="B10579" s="8" t="s">
        <v>10320</v>
      </c>
    </row>
    <row r="10580" spans="1:2" x14ac:dyDescent="0.3">
      <c r="A10580" s="5" t="str">
        <f>HYPERLINK("http://www.eatonpowersource.com/products/details/6533n-nz1","6533N-NZ1")</f>
        <v>6533N-NZ1</v>
      </c>
      <c r="B10580" s="6" t="s">
        <v>2797</v>
      </c>
    </row>
    <row r="10581" spans="1:2" x14ac:dyDescent="0.3">
      <c r="A10581" s="7" t="str">
        <f>HYPERLINK("http://www.eatonpowersource.com/products/details/6533n-tv2c","6533N-TV2C")</f>
        <v>6533N-TV2C</v>
      </c>
      <c r="B10581" s="8" t="s">
        <v>2797</v>
      </c>
    </row>
    <row r="10582" spans="1:2" x14ac:dyDescent="0.3">
      <c r="A10582" s="5" t="str">
        <f>HYPERLINK("http://www.eatonpowersource.com/products/details/6533n-tvce","6533N-TVCE")</f>
        <v>6533N-TVCE</v>
      </c>
      <c r="B10582" s="6" t="s">
        <v>10321</v>
      </c>
    </row>
    <row r="10583" spans="1:2" x14ac:dyDescent="0.3">
      <c r="A10583" s="7" t="str">
        <f>HYPERLINK("http://www.eatonpowersource.com/products/details/6533n-tvdg","6533N-TVDG")</f>
        <v>6533N-TVDG</v>
      </c>
      <c r="B10583" s="8" t="s">
        <v>10322</v>
      </c>
    </row>
    <row r="10584" spans="1:2" x14ac:dyDescent="0.3">
      <c r="A10584" s="5" t="str">
        <f>HYPERLINK("http://www.eatonpowersource.com/products/details/6533n-tvej","6533N-TVEJ")</f>
        <v>6533N-TVEJ</v>
      </c>
      <c r="B10584" s="6" t="s">
        <v>10319</v>
      </c>
    </row>
    <row r="10585" spans="1:2" x14ac:dyDescent="0.3">
      <c r="A10585" s="7" t="str">
        <f>HYPERLINK("http://www.eatonpowersource.com/products/details/6533n-tvgl","6533N-TVGL")</f>
        <v>6533N-TVGL</v>
      </c>
      <c r="B10585" s="8" t="s">
        <v>10323</v>
      </c>
    </row>
    <row r="10586" spans="1:2" x14ac:dyDescent="0.3">
      <c r="A10586" s="5" t="str">
        <f>HYPERLINK("http://www.eatonpowersource.com/products/details/6533n-tvhn","6533N-TVHN")</f>
        <v>6533N-TVHN</v>
      </c>
      <c r="B10586" s="6" t="s">
        <v>10320</v>
      </c>
    </row>
    <row r="10587" spans="1:2" x14ac:dyDescent="0.3">
      <c r="A10587" s="7" t="str">
        <f>HYPERLINK("http://www.eatonpowersource.com/products/details/6533n-tvkq","6533N-TVKQ")</f>
        <v>6533N-TVKQ</v>
      </c>
      <c r="B10587" s="8" t="s">
        <v>2797</v>
      </c>
    </row>
    <row r="10588" spans="1:2" x14ac:dyDescent="0.3">
      <c r="A10588" s="5" t="str">
        <f>HYPERLINK("http://www.eatonpowersource.com/products/details/6533n-tvnu","6533N-TVNU")</f>
        <v>6533N-TVNU</v>
      </c>
      <c r="B10588" s="6" t="s">
        <v>10320</v>
      </c>
    </row>
    <row r="10589" spans="1:2" x14ac:dyDescent="0.3">
      <c r="A10589" s="7" t="str">
        <f>HYPERLINK("http://www.eatonpowersource.com/products/details/6533n-tzlp","6533N-TZLP")</f>
        <v>6533N-TZLP</v>
      </c>
      <c r="B10589" s="8" t="s">
        <v>10320</v>
      </c>
    </row>
    <row r="10590" spans="1:2" x14ac:dyDescent="0.3">
      <c r="A10590" s="5" t="str">
        <f>HYPERLINK("http://www.eatonpowersource.com/products/details/6633l-tvce","6633L-TVCE")</f>
        <v>6633L-TVCE</v>
      </c>
      <c r="B10590" s="6" t="s">
        <v>10319</v>
      </c>
    </row>
    <row r="10591" spans="1:2" x14ac:dyDescent="0.3">
      <c r="A10591" s="7" t="str">
        <f>HYPERLINK("http://www.eatonpowersource.com/products/details/6633l-tvej","6633L-TVEJ")</f>
        <v>6633L-TVEJ</v>
      </c>
      <c r="B10591" s="8" t="s">
        <v>2797</v>
      </c>
    </row>
    <row r="10592" spans="1:2" x14ac:dyDescent="0.3">
      <c r="A10592" s="5" t="str">
        <f>HYPERLINK("http://www.eatonpowersource.com/products/details/6633l-tvgl","6633L-TVGL")</f>
        <v>6633L-TVGL</v>
      </c>
      <c r="B10592" s="6" t="s">
        <v>10324</v>
      </c>
    </row>
    <row r="10593" spans="1:2" x14ac:dyDescent="0.3">
      <c r="A10593" s="7" t="str">
        <f>HYPERLINK("http://www.eatonpowersource.com/products/details/6633l-tzmu","6633L-TZMU")</f>
        <v>6633L-TZMU</v>
      </c>
      <c r="B10593" s="8" t="s">
        <v>10324</v>
      </c>
    </row>
    <row r="10594" spans="1:2" x14ac:dyDescent="0.3">
      <c r="A10594" s="5" t="str">
        <f>HYPERLINK("http://www.eatonpowersource.com/products/details/6633n-nzn","6633N-NZN")</f>
        <v>6633N-NZN</v>
      </c>
      <c r="B10594" s="6" t="s">
        <v>2797</v>
      </c>
    </row>
    <row r="10595" spans="1:2" x14ac:dyDescent="0.3">
      <c r="A10595" s="7" t="str">
        <f>HYPERLINK("http://www.eatonpowersource.com/products/details/6633n-tv2c","6633N-TV2C")</f>
        <v>6633N-TV2C</v>
      </c>
      <c r="B10595" s="8" t="s">
        <v>10324</v>
      </c>
    </row>
    <row r="10596" spans="1:2" x14ac:dyDescent="0.3">
      <c r="A10596" s="5" t="str">
        <f>HYPERLINK("http://www.eatonpowersource.com/products/details/6633n-tvbb","6633N-TVBB")</f>
        <v>6633N-TVBB</v>
      </c>
      <c r="B10596" s="6" t="s">
        <v>10319</v>
      </c>
    </row>
    <row r="10597" spans="1:2" x14ac:dyDescent="0.3">
      <c r="A10597" s="7" t="str">
        <f>HYPERLINK("http://www.eatonpowersource.com/products/details/6633n-tvdg","6633N-TVDG")</f>
        <v>6633N-TVDG</v>
      </c>
      <c r="B10597" s="8" t="s">
        <v>10319</v>
      </c>
    </row>
    <row r="10598" spans="1:2" x14ac:dyDescent="0.3">
      <c r="A10598" s="5" t="str">
        <f>HYPERLINK("http://www.eatonpowersource.com/products/details/6633n-tvej","6633N-TVEJ")</f>
        <v>6633N-TVEJ</v>
      </c>
      <c r="B10598" s="6" t="s">
        <v>10319</v>
      </c>
    </row>
    <row r="10599" spans="1:2" x14ac:dyDescent="0.3">
      <c r="A10599" s="7" t="str">
        <f>HYPERLINK("http://www.eatonpowersource.com/products/details/6633n-tvgl","6633N-TVGL")</f>
        <v>6633N-TVGL</v>
      </c>
      <c r="B10599" s="8" t="s">
        <v>10319</v>
      </c>
    </row>
    <row r="10600" spans="1:2" x14ac:dyDescent="0.3">
      <c r="A10600" s="5" t="str">
        <f>HYPERLINK("http://www.eatonpowersource.com/products/details/6633n-tvhn","6633N-TVHN")</f>
        <v>6633N-TVHN</v>
      </c>
      <c r="B10600" s="6" t="s">
        <v>10324</v>
      </c>
    </row>
    <row r="10601" spans="1:2" x14ac:dyDescent="0.3">
      <c r="A10601" s="7" t="str">
        <f>HYPERLINK("http://www.eatonpowersource.com/products/details/6633n-tvkq","6633N-TVKQ")</f>
        <v>6633N-TVKQ</v>
      </c>
      <c r="B10601" s="8" t="s">
        <v>10324</v>
      </c>
    </row>
    <row r="10602" spans="1:2" x14ac:dyDescent="0.3">
      <c r="A10602" s="5" t="str">
        <f>HYPERLINK("http://www.eatonpowersource.com/products/details/6633n-tvls","6633N-TVLS")</f>
        <v>6633N-TVLS</v>
      </c>
      <c r="B10602" s="6" t="s">
        <v>10325</v>
      </c>
    </row>
    <row r="10603" spans="1:2" x14ac:dyDescent="0.3">
      <c r="A10603" s="7" t="str">
        <f>HYPERLINK("http://www.eatonpowersource.com/products/details/6633n-tzlp","6633N-TZLP")</f>
        <v>6633N-TZLP</v>
      </c>
      <c r="B10603" s="8" t="s">
        <v>10326</v>
      </c>
    </row>
    <row r="10604" spans="1:2" x14ac:dyDescent="0.3">
      <c r="A10604" s="5" t="str">
        <f>HYPERLINK("http://www.eatonpowersource.com/products/details/680630","680630")</f>
        <v>680630</v>
      </c>
      <c r="B10604" s="6" t="s">
        <v>10327</v>
      </c>
    </row>
    <row r="10605" spans="1:2" x14ac:dyDescent="0.3">
      <c r="A10605" s="7" t="str">
        <f>HYPERLINK("http://www.eatonpowersource.com/products/details/680631","680631")</f>
        <v>680631</v>
      </c>
      <c r="B10605" s="8" t="s">
        <v>10327</v>
      </c>
    </row>
    <row r="10606" spans="1:2" x14ac:dyDescent="0.3">
      <c r="A10606" s="5" t="str">
        <f>HYPERLINK("http://www.eatonpowersource.com/products/details/684840","684840")</f>
        <v>684840</v>
      </c>
      <c r="B10606" s="6" t="s">
        <v>10328</v>
      </c>
    </row>
    <row r="10607" spans="1:2" x14ac:dyDescent="0.3">
      <c r="A10607" s="7" t="str">
        <f>HYPERLINK("http://www.eatonpowersource.com/products/details/686759","686759")</f>
        <v>686759</v>
      </c>
      <c r="B10607" s="8" t="s">
        <v>10329</v>
      </c>
    </row>
    <row r="10608" spans="1:2" x14ac:dyDescent="0.3">
      <c r="A10608" s="5" t="str">
        <f>HYPERLINK("http://www.eatonpowersource.com/products/details/689253","689253")</f>
        <v>689253</v>
      </c>
      <c r="B10608" s="6" t="s">
        <v>10330</v>
      </c>
    </row>
    <row r="10609" spans="1:2" x14ac:dyDescent="0.3">
      <c r="A10609" s="7" t="str">
        <f>HYPERLINK("http://www.eatonpowersource.com/products/details/689402","689402")</f>
        <v>689402</v>
      </c>
      <c r="B10609" s="8" t="s">
        <v>10331</v>
      </c>
    </row>
    <row r="10610" spans="1:2" x14ac:dyDescent="0.3">
      <c r="A10610" s="5" t="str">
        <f>HYPERLINK("http://www.eatonpowersource.com/products/details/690210","690210")</f>
        <v>690210</v>
      </c>
      <c r="B10610" s="6" t="s">
        <v>10228</v>
      </c>
    </row>
    <row r="10611" spans="1:2" x14ac:dyDescent="0.3">
      <c r="A10611" s="7" t="str">
        <f>HYPERLINK("http://www.eatonpowersource.com/products/details/690211","690211")</f>
        <v>690211</v>
      </c>
      <c r="B10611" s="8" t="s">
        <v>10238</v>
      </c>
    </row>
    <row r="10612" spans="1:2" x14ac:dyDescent="0.3">
      <c r="A10612" s="5" t="str">
        <f>HYPERLINK("http://www.eatonpowersource.com/products/details/690804","690804")</f>
        <v>690804</v>
      </c>
      <c r="B10612" s="6" t="s">
        <v>10228</v>
      </c>
    </row>
    <row r="10613" spans="1:2" x14ac:dyDescent="0.3">
      <c r="A10613" s="7" t="str">
        <f>HYPERLINK("http://www.eatonpowersource.com/products/details/690805","690805")</f>
        <v>690805</v>
      </c>
      <c r="B10613" s="8" t="s">
        <v>10238</v>
      </c>
    </row>
    <row r="10614" spans="1:2" x14ac:dyDescent="0.3">
      <c r="A10614" s="5" t="str">
        <f>HYPERLINK("http://www.eatonpowersource.com/products/details/690806","690806")</f>
        <v>690806</v>
      </c>
      <c r="B10614" s="6" t="s">
        <v>10205</v>
      </c>
    </row>
    <row r="10615" spans="1:2" x14ac:dyDescent="0.3">
      <c r="A10615" s="7" t="str">
        <f>HYPERLINK("http://www.eatonpowersource.com/products/details/690816","690816")</f>
        <v>690816</v>
      </c>
      <c r="B10615" s="8" t="s">
        <v>10232</v>
      </c>
    </row>
    <row r="10616" spans="1:2" x14ac:dyDescent="0.3">
      <c r="A10616" s="5" t="str">
        <f>HYPERLINK("http://www.eatonpowersource.com/products/details/691449","691449")</f>
        <v>691449</v>
      </c>
      <c r="B10616" s="6" t="s">
        <v>10332</v>
      </c>
    </row>
    <row r="10617" spans="1:2" x14ac:dyDescent="0.3">
      <c r="A10617" s="7" t="str">
        <f>HYPERLINK("http://www.eatonpowersource.com/products/details/692152","692152")</f>
        <v>692152</v>
      </c>
      <c r="B10617" s="8" t="s">
        <v>10232</v>
      </c>
    </row>
    <row r="10618" spans="1:2" x14ac:dyDescent="0.3">
      <c r="A10618" s="5" t="str">
        <f>HYPERLINK("http://www.eatonpowersource.com/products/details/692567","692567")</f>
        <v>692567</v>
      </c>
      <c r="B10618" s="6" t="s">
        <v>10055</v>
      </c>
    </row>
    <row r="10619" spans="1:2" x14ac:dyDescent="0.3">
      <c r="A10619" s="7" t="str">
        <f>HYPERLINK("http://www.eatonpowersource.com/products/details/692941","692941")</f>
        <v>692941</v>
      </c>
      <c r="B10619" s="8" t="s">
        <v>10207</v>
      </c>
    </row>
    <row r="10620" spans="1:2" x14ac:dyDescent="0.3">
      <c r="A10620" s="5" t="str">
        <f>HYPERLINK("http://www.eatonpowersource.com/products/details/694156","694156")</f>
        <v>694156</v>
      </c>
      <c r="B10620" s="6" t="s">
        <v>9925</v>
      </c>
    </row>
    <row r="10621" spans="1:2" x14ac:dyDescent="0.3">
      <c r="A10621" s="7" t="str">
        <f>HYPERLINK("http://www.eatonpowersource.com/products/details/694157","694157")</f>
        <v>694157</v>
      </c>
      <c r="B10621" s="8" t="s">
        <v>9925</v>
      </c>
    </row>
    <row r="10622" spans="1:2" x14ac:dyDescent="0.3">
      <c r="A10622" s="5" t="str">
        <f>HYPERLINK("http://www.eatonpowersource.com/products/details/694158","694158")</f>
        <v>694158</v>
      </c>
      <c r="B10622" s="6" t="s">
        <v>9925</v>
      </c>
    </row>
    <row r="10623" spans="1:2" x14ac:dyDescent="0.3">
      <c r="A10623" s="7" t="str">
        <f>HYPERLINK("http://www.eatonpowersource.com/products/details/694159","694159")</f>
        <v>694159</v>
      </c>
      <c r="B10623" s="8" t="s">
        <v>9925</v>
      </c>
    </row>
    <row r="10624" spans="1:2" x14ac:dyDescent="0.3">
      <c r="A10624" s="5" t="str">
        <f>HYPERLINK("http://www.eatonpowersource.com/products/details/694160","694160")</f>
        <v>694160</v>
      </c>
      <c r="B10624" s="6" t="s">
        <v>9925</v>
      </c>
    </row>
    <row r="10625" spans="1:2" x14ac:dyDescent="0.3">
      <c r="A10625" s="7" t="str">
        <f>HYPERLINK("http://www.eatonpowersource.com/products/details/694174","694174")</f>
        <v>694174</v>
      </c>
      <c r="B10625" s="8" t="s">
        <v>10333</v>
      </c>
    </row>
    <row r="10626" spans="1:2" x14ac:dyDescent="0.3">
      <c r="A10626" s="5" t="str">
        <f>HYPERLINK("http://www.eatonpowersource.com/products/details/694175","694175")</f>
        <v>694175</v>
      </c>
      <c r="B10626" s="6" t="s">
        <v>10333</v>
      </c>
    </row>
    <row r="10627" spans="1:2" x14ac:dyDescent="0.3">
      <c r="A10627" s="7" t="str">
        <f>HYPERLINK("http://www.eatonpowersource.com/products/details/694176","694176")</f>
        <v>694176</v>
      </c>
      <c r="B10627" s="8" t="s">
        <v>10333</v>
      </c>
    </row>
    <row r="10628" spans="1:2" x14ac:dyDescent="0.3">
      <c r="A10628" s="5" t="str">
        <f>HYPERLINK("http://www.eatonpowersource.com/products/details/694219","694219")</f>
        <v>694219</v>
      </c>
      <c r="B10628" s="6" t="s">
        <v>9925</v>
      </c>
    </row>
    <row r="10629" spans="1:2" x14ac:dyDescent="0.3">
      <c r="A10629" s="7" t="str">
        <f>HYPERLINK("http://www.eatonpowersource.com/products/details/694220","694220")</f>
        <v>694220</v>
      </c>
      <c r="B10629" s="8" t="s">
        <v>9925</v>
      </c>
    </row>
    <row r="10630" spans="1:2" x14ac:dyDescent="0.3">
      <c r="A10630" s="5" t="str">
        <f>HYPERLINK("http://www.eatonpowersource.com/products/details/694221","694221")</f>
        <v>694221</v>
      </c>
      <c r="B10630" s="6" t="s">
        <v>9925</v>
      </c>
    </row>
    <row r="10631" spans="1:2" x14ac:dyDescent="0.3">
      <c r="A10631" s="7" t="str">
        <f>HYPERLINK("http://www.eatonpowersource.com/products/details/694229","694229")</f>
        <v>694229</v>
      </c>
      <c r="B10631" s="8" t="s">
        <v>10333</v>
      </c>
    </row>
    <row r="10632" spans="1:2" x14ac:dyDescent="0.3">
      <c r="A10632" s="5" t="str">
        <f>HYPERLINK("http://www.eatonpowersource.com/products/details/694272","694272")</f>
        <v>694272</v>
      </c>
      <c r="B10632" s="6" t="s">
        <v>10334</v>
      </c>
    </row>
    <row r="10633" spans="1:2" x14ac:dyDescent="0.3">
      <c r="A10633" s="7" t="str">
        <f>HYPERLINK("http://www.eatonpowersource.com/products/details/694274","694274")</f>
        <v>694274</v>
      </c>
      <c r="B10633" s="8" t="s">
        <v>10335</v>
      </c>
    </row>
    <row r="10634" spans="1:2" x14ac:dyDescent="0.3">
      <c r="A10634" s="5" t="str">
        <f>HYPERLINK("http://www.eatonpowersource.com/products/details/694299","694299")</f>
        <v>694299</v>
      </c>
      <c r="B10634" s="6" t="s">
        <v>9925</v>
      </c>
    </row>
    <row r="10635" spans="1:2" x14ac:dyDescent="0.3">
      <c r="A10635" s="7" t="str">
        <f>HYPERLINK("http://www.eatonpowersource.com/products/details/694313","694313")</f>
        <v>694313</v>
      </c>
      <c r="B10635" s="8" t="s">
        <v>10336</v>
      </c>
    </row>
    <row r="10636" spans="1:2" x14ac:dyDescent="0.3">
      <c r="A10636" s="5" t="str">
        <f>HYPERLINK("http://www.eatonpowersource.com/products/details/694341","694341")</f>
        <v>694341</v>
      </c>
      <c r="B10636" s="6" t="s">
        <v>10337</v>
      </c>
    </row>
    <row r="10637" spans="1:2" x14ac:dyDescent="0.3">
      <c r="A10637" s="7" t="str">
        <f>HYPERLINK("http://www.eatonpowersource.com/products/details/694342","694342")</f>
        <v>694342</v>
      </c>
      <c r="B10637" s="8" t="s">
        <v>10338</v>
      </c>
    </row>
    <row r="10638" spans="1:2" x14ac:dyDescent="0.3">
      <c r="A10638" s="5" t="str">
        <f>HYPERLINK("http://www.eatonpowersource.com/products/details/694343","694343")</f>
        <v>694343</v>
      </c>
      <c r="B10638" s="6" t="s">
        <v>10339</v>
      </c>
    </row>
    <row r="10639" spans="1:2" x14ac:dyDescent="0.3">
      <c r="A10639" s="7" t="str">
        <f>HYPERLINK("http://www.eatonpowersource.com/products/details/694344","694344")</f>
        <v>694344</v>
      </c>
      <c r="B10639" s="8" t="s">
        <v>10340</v>
      </c>
    </row>
    <row r="10640" spans="1:2" x14ac:dyDescent="0.3">
      <c r="A10640" s="5" t="str">
        <f>HYPERLINK("http://www.eatonpowersource.com/products/details/694345","694345")</f>
        <v>694345</v>
      </c>
      <c r="B10640" s="6" t="s">
        <v>10341</v>
      </c>
    </row>
    <row r="10641" spans="1:2" x14ac:dyDescent="0.3">
      <c r="A10641" s="7" t="str">
        <f>HYPERLINK("http://www.eatonpowersource.com/products/details/694346","694346")</f>
        <v>694346</v>
      </c>
      <c r="B10641" s="8" t="s">
        <v>10342</v>
      </c>
    </row>
    <row r="10642" spans="1:2" x14ac:dyDescent="0.3">
      <c r="A10642" s="5" t="str">
        <f>HYPERLINK("http://www.eatonpowersource.com/products/details/694347","694347")</f>
        <v>694347</v>
      </c>
      <c r="B10642" s="6" t="s">
        <v>10343</v>
      </c>
    </row>
    <row r="10643" spans="1:2" x14ac:dyDescent="0.3">
      <c r="A10643" s="7" t="str">
        <f>HYPERLINK("http://www.eatonpowersource.com/products/details/694348","694348")</f>
        <v>694348</v>
      </c>
      <c r="B10643" s="8" t="s">
        <v>10344</v>
      </c>
    </row>
    <row r="10644" spans="1:2" x14ac:dyDescent="0.3">
      <c r="A10644" s="5" t="str">
        <f>HYPERLINK("http://www.eatonpowersource.com/products/details/694353","694353")</f>
        <v>694353</v>
      </c>
      <c r="B10644" s="6" t="s">
        <v>10345</v>
      </c>
    </row>
    <row r="10645" spans="1:2" x14ac:dyDescent="0.3">
      <c r="A10645" s="7" t="str">
        <f>HYPERLINK("http://www.eatonpowersource.com/products/details/694372","694372")</f>
        <v>694372</v>
      </c>
      <c r="B10645" s="8" t="s">
        <v>10346</v>
      </c>
    </row>
    <row r="10646" spans="1:2" x14ac:dyDescent="0.3">
      <c r="A10646" s="5" t="str">
        <f>HYPERLINK("http://www.eatonpowersource.com/products/details/694535","694535")</f>
        <v>694535</v>
      </c>
      <c r="B10646" s="6" t="s">
        <v>9960</v>
      </c>
    </row>
    <row r="10647" spans="1:2" x14ac:dyDescent="0.3">
      <c r="A10647" s="7" t="str">
        <f>HYPERLINK("http://www.eatonpowersource.com/products/details/694599","694599")</f>
        <v>694599</v>
      </c>
      <c r="B10647" s="8" t="s">
        <v>10347</v>
      </c>
    </row>
    <row r="10648" spans="1:2" x14ac:dyDescent="0.3">
      <c r="A10648" s="5" t="str">
        <f>HYPERLINK("http://www.eatonpowersource.com/products/details/696877","696877")</f>
        <v>696877</v>
      </c>
      <c r="B10648" s="6" t="s">
        <v>10348</v>
      </c>
    </row>
    <row r="10649" spans="1:2" x14ac:dyDescent="0.3">
      <c r="A10649" s="7" t="str">
        <f>HYPERLINK("http://www.eatonpowersource.com/products/details/696894","696894")</f>
        <v>696894</v>
      </c>
      <c r="B10649" s="8" t="s">
        <v>10349</v>
      </c>
    </row>
    <row r="10650" spans="1:2" x14ac:dyDescent="0.3">
      <c r="A10650" s="5" t="str">
        <f>HYPERLINK("http://www.eatonpowersource.com/products/details/696897","696897")</f>
        <v>696897</v>
      </c>
      <c r="B10650" s="6" t="s">
        <v>10350</v>
      </c>
    </row>
    <row r="10651" spans="1:2" x14ac:dyDescent="0.3">
      <c r="A10651" s="7" t="str">
        <f>HYPERLINK("http://www.eatonpowersource.com/products/details/697356","697356")</f>
        <v>697356</v>
      </c>
      <c r="B10651" s="8" t="s">
        <v>10351</v>
      </c>
    </row>
    <row r="10652" spans="1:2" x14ac:dyDescent="0.3">
      <c r="A10652" s="5" t="str">
        <f>HYPERLINK("http://www.eatonpowersource.com/products/details/697382","697382")</f>
        <v>697382</v>
      </c>
      <c r="B10652" s="6" t="s">
        <v>10352</v>
      </c>
    </row>
    <row r="10653" spans="1:2" x14ac:dyDescent="0.3">
      <c r="A10653" s="7" t="str">
        <f>HYPERLINK("http://www.eatonpowersource.com/products/details/698484","698484")</f>
        <v>698484</v>
      </c>
      <c r="B10653" s="8" t="s">
        <v>10195</v>
      </c>
    </row>
    <row r="10654" spans="1:2" x14ac:dyDescent="0.3">
      <c r="A10654" s="5" t="str">
        <f>HYPERLINK("http://www.eatonpowersource.com/products/details/698488","698488")</f>
        <v>698488</v>
      </c>
      <c r="B10654" s="6" t="s">
        <v>10353</v>
      </c>
    </row>
    <row r="10655" spans="1:2" x14ac:dyDescent="0.3">
      <c r="A10655" s="7" t="str">
        <f>HYPERLINK("http://www.eatonpowersource.com/products/details/698489","698489")</f>
        <v>698489</v>
      </c>
      <c r="B10655" s="8" t="s">
        <v>10195</v>
      </c>
    </row>
    <row r="10656" spans="1:2" x14ac:dyDescent="0.3">
      <c r="A10656" s="5" t="str">
        <f>HYPERLINK("http://www.eatonpowersource.com/products/details/698523","698523")</f>
        <v>698523</v>
      </c>
      <c r="B10656" s="6" t="s">
        <v>10354</v>
      </c>
    </row>
    <row r="10657" spans="1:2" x14ac:dyDescent="0.3">
      <c r="A10657" s="7" t="str">
        <f>HYPERLINK("http://www.eatonpowersource.com/products/details/698616","698616")</f>
        <v>698616</v>
      </c>
      <c r="B10657" s="8" t="s">
        <v>9653</v>
      </c>
    </row>
    <row r="10658" spans="1:2" x14ac:dyDescent="0.3">
      <c r="A10658" s="5" t="str">
        <f>HYPERLINK("http://www.eatonpowersource.com/products/details/705871","705871")</f>
        <v>705871</v>
      </c>
      <c r="B10658" s="6" t="s">
        <v>10355</v>
      </c>
    </row>
    <row r="10659" spans="1:2" x14ac:dyDescent="0.3">
      <c r="A10659" s="7" t="str">
        <f>HYPERLINK("http://www.eatonpowersource.com/products/details/708237","708237")</f>
        <v>708237</v>
      </c>
      <c r="B10659" s="8" t="s">
        <v>10356</v>
      </c>
    </row>
    <row r="10660" spans="1:2" x14ac:dyDescent="0.3">
      <c r="A10660" s="5" t="str">
        <f>HYPERLINK("http://www.eatonpowersource.com/products/details/708239","708239")</f>
        <v>708239</v>
      </c>
      <c r="B10660" s="6" t="s">
        <v>10357</v>
      </c>
    </row>
    <row r="10661" spans="1:2" x14ac:dyDescent="0.3">
      <c r="A10661" s="7" t="str">
        <f>HYPERLINK("http://www.eatonpowersource.com/products/details/708241","708241")</f>
        <v>708241</v>
      </c>
      <c r="B10661" s="8" t="s">
        <v>10358</v>
      </c>
    </row>
    <row r="10662" spans="1:2" x14ac:dyDescent="0.3">
      <c r="A10662" s="5" t="str">
        <f>HYPERLINK("http://www.eatonpowersource.com/products/details/708242","708242")</f>
        <v>708242</v>
      </c>
      <c r="B10662" s="6" t="s">
        <v>10359</v>
      </c>
    </row>
    <row r="10663" spans="1:2" x14ac:dyDescent="0.3">
      <c r="A10663" s="7" t="str">
        <f>HYPERLINK("http://www.eatonpowersource.com/products/details/709254","709254")</f>
        <v>709254</v>
      </c>
      <c r="B10663" s="8" t="s">
        <v>10360</v>
      </c>
    </row>
    <row r="10664" spans="1:2" x14ac:dyDescent="0.3">
      <c r="A10664" s="5" t="str">
        <f>HYPERLINK("http://www.eatonpowersource.com/products/details/709255","709255")</f>
        <v>709255</v>
      </c>
      <c r="B10664" s="6" t="s">
        <v>10361</v>
      </c>
    </row>
    <row r="10665" spans="1:2" x14ac:dyDescent="0.3">
      <c r="A10665" s="7" t="str">
        <f>HYPERLINK("http://www.eatonpowersource.com/products/details/709260","709260")</f>
        <v>709260</v>
      </c>
      <c r="B10665" s="8" t="s">
        <v>10362</v>
      </c>
    </row>
    <row r="10666" spans="1:2" x14ac:dyDescent="0.3">
      <c r="A10666" s="5" t="str">
        <f>HYPERLINK("http://www.eatonpowersource.com/products/details/709264","709264")</f>
        <v>709264</v>
      </c>
      <c r="B10666" s="6" t="s">
        <v>10363</v>
      </c>
    </row>
    <row r="10667" spans="1:2" x14ac:dyDescent="0.3">
      <c r="A10667" s="7" t="str">
        <f>HYPERLINK("http://www.eatonpowersource.com/products/details/709265","709265")</f>
        <v>709265</v>
      </c>
      <c r="B10667" s="8" t="s">
        <v>10364</v>
      </c>
    </row>
    <row r="10668" spans="1:2" x14ac:dyDescent="0.3">
      <c r="A10668" s="5" t="str">
        <f>HYPERLINK("http://www.eatonpowersource.com/products/details/710775","710775")</f>
        <v>710775</v>
      </c>
      <c r="B10668" s="6" t="s">
        <v>10365</v>
      </c>
    </row>
    <row r="10669" spans="1:2" x14ac:dyDescent="0.3">
      <c r="A10669" s="7" t="str">
        <f>HYPERLINK("http://www.eatonpowersource.com/products/details/710776","710776")</f>
        <v>710776</v>
      </c>
      <c r="B10669" s="8" t="s">
        <v>10365</v>
      </c>
    </row>
    <row r="10670" spans="1:2" x14ac:dyDescent="0.3">
      <c r="A10670" s="5" t="str">
        <f>HYPERLINK("http://www.eatonpowersource.com/products/details/736318","736318")</f>
        <v>736318</v>
      </c>
      <c r="B10670" s="6" t="s">
        <v>10366</v>
      </c>
    </row>
    <row r="10671" spans="1:2" x14ac:dyDescent="0.3">
      <c r="A10671" s="7" t="str">
        <f>HYPERLINK("http://www.eatonpowersource.com/products/details/760881","760881")</f>
        <v>760881</v>
      </c>
      <c r="B10671" s="8" t="s">
        <v>9960</v>
      </c>
    </row>
    <row r="10672" spans="1:2" x14ac:dyDescent="0.3">
      <c r="A10672" s="5" t="str">
        <f>HYPERLINK("http://www.eatonpowersource.com/products/details/760882","760882")</f>
        <v>760882</v>
      </c>
      <c r="B10672" s="6" t="s">
        <v>9657</v>
      </c>
    </row>
    <row r="10673" spans="1:2" x14ac:dyDescent="0.3">
      <c r="A10673" s="7" t="str">
        <f>HYPERLINK("http://www.eatonpowersource.com/products/details/760934","760934")</f>
        <v>760934</v>
      </c>
      <c r="B10673" s="8" t="s">
        <v>10255</v>
      </c>
    </row>
    <row r="10674" spans="1:2" x14ac:dyDescent="0.3">
      <c r="A10674" s="5" t="str">
        <f>HYPERLINK("http://www.eatonpowersource.com/products/details/761164","761164")</f>
        <v>761164</v>
      </c>
      <c r="B10674" s="6" t="s">
        <v>10367</v>
      </c>
    </row>
    <row r="10675" spans="1:2" x14ac:dyDescent="0.3">
      <c r="A10675" s="7" t="str">
        <f>HYPERLINK("http://www.eatonpowersource.com/products/details/761190","761190")</f>
        <v>761190</v>
      </c>
      <c r="B10675" s="8" t="s">
        <v>9646</v>
      </c>
    </row>
    <row r="10676" spans="1:2" x14ac:dyDescent="0.3">
      <c r="A10676" s="5" t="str">
        <f>HYPERLINK("http://www.eatonpowersource.com/products/details/761564","761564")</f>
        <v>761564</v>
      </c>
      <c r="B10676" s="6" t="s">
        <v>9653</v>
      </c>
    </row>
    <row r="10677" spans="1:2" x14ac:dyDescent="0.3">
      <c r="A10677" s="7" t="str">
        <f>HYPERLINK("http://www.eatonpowersource.com/products/details/761565","761565")</f>
        <v>761565</v>
      </c>
      <c r="B10677" s="8" t="s">
        <v>9653</v>
      </c>
    </row>
    <row r="10678" spans="1:2" x14ac:dyDescent="0.3">
      <c r="A10678" s="5" t="str">
        <f>HYPERLINK("http://www.eatonpowersource.com/products/details/761569","761569")</f>
        <v>761569</v>
      </c>
      <c r="B10678" s="6" t="s">
        <v>9653</v>
      </c>
    </row>
    <row r="10679" spans="1:2" x14ac:dyDescent="0.3">
      <c r="A10679" s="7" t="str">
        <f>HYPERLINK("http://www.eatonpowersource.com/products/details/761571","761571")</f>
        <v>761571</v>
      </c>
      <c r="B10679" s="8" t="s">
        <v>9653</v>
      </c>
    </row>
    <row r="10680" spans="1:2" x14ac:dyDescent="0.3">
      <c r="A10680" s="5" t="str">
        <f>HYPERLINK("http://www.eatonpowersource.com/products/details/762921","762921")</f>
        <v>762921</v>
      </c>
      <c r="B10680" s="6" t="s">
        <v>8630</v>
      </c>
    </row>
    <row r="10681" spans="1:2" x14ac:dyDescent="0.3">
      <c r="A10681" s="7" t="str">
        <f>HYPERLINK("http://www.eatonpowersource.com/products/details/762922","762922")</f>
        <v>762922</v>
      </c>
      <c r="B10681" s="8" t="s">
        <v>9657</v>
      </c>
    </row>
    <row r="10682" spans="1:2" x14ac:dyDescent="0.3">
      <c r="A10682" s="5" t="str">
        <f>HYPERLINK("http://www.eatonpowersource.com/products/details/762928","762928")</f>
        <v>762928</v>
      </c>
      <c r="B10682" s="6" t="s">
        <v>9653</v>
      </c>
    </row>
    <row r="10683" spans="1:2" x14ac:dyDescent="0.3">
      <c r="A10683" s="7" t="str">
        <f>HYPERLINK("http://www.eatonpowersource.com/products/details/762929","762929")</f>
        <v>762929</v>
      </c>
      <c r="B10683" s="8" t="s">
        <v>9653</v>
      </c>
    </row>
    <row r="10684" spans="1:2" x14ac:dyDescent="0.3">
      <c r="A10684" s="5" t="str">
        <f>HYPERLINK("http://www.eatonpowersource.com/products/details/762930","762930")</f>
        <v>762930</v>
      </c>
      <c r="B10684" s="6" t="s">
        <v>9653</v>
      </c>
    </row>
    <row r="10685" spans="1:2" x14ac:dyDescent="0.3">
      <c r="A10685" s="7" t="str">
        <f>HYPERLINK("http://www.eatonpowersource.com/products/details/763714","763714")</f>
        <v>763714</v>
      </c>
      <c r="B10685" s="8" t="s">
        <v>9653</v>
      </c>
    </row>
    <row r="10686" spans="1:2" x14ac:dyDescent="0.3">
      <c r="A10686" s="5" t="str">
        <f>HYPERLINK("http://www.eatonpowersource.com/products/details/764171","764171")</f>
        <v>764171</v>
      </c>
      <c r="B10686" s="6" t="s">
        <v>9657</v>
      </c>
    </row>
    <row r="10687" spans="1:2" x14ac:dyDescent="0.3">
      <c r="A10687" s="7" t="str">
        <f>HYPERLINK("http://www.eatonpowersource.com/products/details/783665","783665")</f>
        <v>783665</v>
      </c>
      <c r="B10687" s="8" t="s">
        <v>9653</v>
      </c>
    </row>
    <row r="10688" spans="1:2" x14ac:dyDescent="0.3">
      <c r="A10688" s="5" t="str">
        <f>HYPERLINK("http://www.eatonpowersource.com/products/details/786523","786523")</f>
        <v>786523</v>
      </c>
      <c r="B10688" s="6" t="s">
        <v>10368</v>
      </c>
    </row>
    <row r="10689" spans="1:2" x14ac:dyDescent="0.3">
      <c r="A10689" s="7" t="str">
        <f>HYPERLINK("http://www.eatonpowersource.com/products/details/791276","791276")</f>
        <v>791276</v>
      </c>
      <c r="B10689" s="8" t="s">
        <v>10369</v>
      </c>
    </row>
    <row r="10690" spans="1:2" x14ac:dyDescent="0.3">
      <c r="A10690" s="5" t="str">
        <f>HYPERLINK("http://www.eatonpowersource.com/products/details/791564","791564")</f>
        <v>791564</v>
      </c>
      <c r="B10690" s="6" t="s">
        <v>10370</v>
      </c>
    </row>
    <row r="10691" spans="1:2" x14ac:dyDescent="0.3">
      <c r="A10691" s="7" t="str">
        <f>HYPERLINK("http://www.eatonpowersource.com/products/details/791651","791651")</f>
        <v>791651</v>
      </c>
      <c r="B10691" s="8" t="s">
        <v>10371</v>
      </c>
    </row>
    <row r="10692" spans="1:2" x14ac:dyDescent="0.3">
      <c r="A10692" s="5" t="str">
        <f>HYPERLINK("http://www.eatonpowersource.com/products/details/791653","791653")</f>
        <v>791653</v>
      </c>
      <c r="B10692" s="6" t="s">
        <v>10372</v>
      </c>
    </row>
    <row r="10693" spans="1:2" x14ac:dyDescent="0.3">
      <c r="A10693" s="7" t="str">
        <f>HYPERLINK("http://www.eatonpowersource.com/products/details/791660","791660")</f>
        <v>791660</v>
      </c>
      <c r="B10693" s="8" t="s">
        <v>10373</v>
      </c>
    </row>
    <row r="10694" spans="1:2" x14ac:dyDescent="0.3">
      <c r="A10694" s="5" t="str">
        <f>HYPERLINK("http://www.eatonpowersource.com/products/details/791661","791661")</f>
        <v>791661</v>
      </c>
      <c r="B10694" s="6" t="s">
        <v>10374</v>
      </c>
    </row>
    <row r="10695" spans="1:2" x14ac:dyDescent="0.3">
      <c r="A10695" s="7" t="str">
        <f>HYPERLINK("http://www.eatonpowersource.com/products/details/792027","792027")</f>
        <v>792027</v>
      </c>
      <c r="B10695" s="8" t="s">
        <v>9653</v>
      </c>
    </row>
    <row r="10696" spans="1:2" x14ac:dyDescent="0.3">
      <c r="A10696" s="5" t="str">
        <f>HYPERLINK("http://www.eatonpowersource.com/products/details/7942-028","7942-028")</f>
        <v>7942-028</v>
      </c>
      <c r="B10696" s="6" t="s">
        <v>10187</v>
      </c>
    </row>
    <row r="10697" spans="1:2" x14ac:dyDescent="0.3">
      <c r="A10697" s="7" t="str">
        <f>HYPERLINK("http://www.eatonpowersource.com/products/details/803386","803386")</f>
        <v>803386</v>
      </c>
      <c r="B10697" s="8" t="s">
        <v>10375</v>
      </c>
    </row>
    <row r="10698" spans="1:2" x14ac:dyDescent="0.3">
      <c r="A10698" s="5" t="str">
        <f>HYPERLINK("http://www.eatonpowersource.com/products/details/813304","813304")</f>
        <v>813304</v>
      </c>
      <c r="B10698" s="6" t="s">
        <v>10376</v>
      </c>
    </row>
    <row r="10699" spans="1:2" x14ac:dyDescent="0.3">
      <c r="A10699" s="7" t="str">
        <f>HYPERLINK("http://www.eatonpowersource.com/products/details/813305","813305")</f>
        <v>813305</v>
      </c>
      <c r="B10699" s="8" t="s">
        <v>10377</v>
      </c>
    </row>
    <row r="10700" spans="1:2" x14ac:dyDescent="0.3">
      <c r="A10700" s="5" t="str">
        <f>HYPERLINK("http://www.eatonpowersource.com/products/details/813307","813307")</f>
        <v>813307</v>
      </c>
      <c r="B10700" s="6" t="s">
        <v>10378</v>
      </c>
    </row>
    <row r="10701" spans="1:2" x14ac:dyDescent="0.3">
      <c r="A10701" s="7" t="str">
        <f>HYPERLINK("http://www.eatonpowersource.com/products/details/813308","813308")</f>
        <v>813308</v>
      </c>
      <c r="B10701" s="8" t="s">
        <v>10379</v>
      </c>
    </row>
    <row r="10702" spans="1:2" x14ac:dyDescent="0.3">
      <c r="A10702" s="5" t="str">
        <f>HYPERLINK("http://www.eatonpowersource.com/products/details/813309","813309")</f>
        <v>813309</v>
      </c>
      <c r="B10702" s="6" t="s">
        <v>10380</v>
      </c>
    </row>
    <row r="10703" spans="1:2" x14ac:dyDescent="0.3">
      <c r="A10703" s="7" t="str">
        <f>HYPERLINK("http://www.eatonpowersource.com/products/details/813311","813311")</f>
        <v>813311</v>
      </c>
      <c r="B10703" s="8" t="s">
        <v>10381</v>
      </c>
    </row>
    <row r="10704" spans="1:2" x14ac:dyDescent="0.3">
      <c r="A10704" s="5" t="str">
        <f>HYPERLINK("http://www.eatonpowersource.com/products/details/813312","813312")</f>
        <v>813312</v>
      </c>
      <c r="B10704" s="6" t="s">
        <v>10382</v>
      </c>
    </row>
    <row r="10705" spans="1:2" x14ac:dyDescent="0.3">
      <c r="A10705" s="7" t="str">
        <f>HYPERLINK("http://www.eatonpowersource.com/products/details/813708","813708")</f>
        <v>813708</v>
      </c>
      <c r="B10705" s="8" t="s">
        <v>10383</v>
      </c>
    </row>
    <row r="10706" spans="1:2" x14ac:dyDescent="0.3">
      <c r="A10706" s="5" t="str">
        <f>HYPERLINK("http://www.eatonpowersource.com/products/details/815407","815407")</f>
        <v>815407</v>
      </c>
      <c r="B10706" s="6" t="s">
        <v>10384</v>
      </c>
    </row>
    <row r="10707" spans="1:2" x14ac:dyDescent="0.3">
      <c r="A10707" s="7" t="str">
        <f>HYPERLINK("http://www.eatonpowersource.com/products/details/818992","818992")</f>
        <v>818992</v>
      </c>
      <c r="B10707" s="8" t="s">
        <v>10385</v>
      </c>
    </row>
    <row r="10708" spans="1:2" x14ac:dyDescent="0.3">
      <c r="A10708" s="5" t="str">
        <f>HYPERLINK("http://www.eatonpowersource.com/products/details/818993","818993")</f>
        <v>818993</v>
      </c>
      <c r="B10708" s="6" t="s">
        <v>10386</v>
      </c>
    </row>
    <row r="10709" spans="1:2" x14ac:dyDescent="0.3">
      <c r="A10709" s="7" t="str">
        <f>HYPERLINK("http://www.eatonpowersource.com/products/details/819266","819266")</f>
        <v>819266</v>
      </c>
      <c r="B10709" s="8" t="s">
        <v>8630</v>
      </c>
    </row>
    <row r="10710" spans="1:2" x14ac:dyDescent="0.3">
      <c r="A10710" s="5" t="str">
        <f>HYPERLINK("http://www.eatonpowersource.com/products/details/819327","819327")</f>
        <v>819327</v>
      </c>
      <c r="B10710" s="6" t="s">
        <v>10387</v>
      </c>
    </row>
    <row r="10711" spans="1:2" x14ac:dyDescent="0.3">
      <c r="A10711" s="7" t="str">
        <f>HYPERLINK("http://www.eatonpowersource.com/products/details/819330","819330")</f>
        <v>819330</v>
      </c>
      <c r="B10711" s="8" t="s">
        <v>9653</v>
      </c>
    </row>
    <row r="10712" spans="1:2" x14ac:dyDescent="0.3">
      <c r="A10712" s="5" t="str">
        <f>HYPERLINK("http://www.eatonpowersource.com/products/details/819380","819380")</f>
        <v>819380</v>
      </c>
      <c r="B10712" s="6" t="s">
        <v>10388</v>
      </c>
    </row>
    <row r="10713" spans="1:2" x14ac:dyDescent="0.3">
      <c r="A10713" s="7" t="str">
        <f>HYPERLINK("http://www.eatonpowersource.com/products/details/819381","819381")</f>
        <v>819381</v>
      </c>
      <c r="B10713" s="8" t="s">
        <v>10389</v>
      </c>
    </row>
    <row r="10714" spans="1:2" x14ac:dyDescent="0.3">
      <c r="A10714" s="5" t="str">
        <f>HYPERLINK("http://www.eatonpowersource.com/products/details/819382","819382")</f>
        <v>819382</v>
      </c>
      <c r="B10714" s="6" t="s">
        <v>10390</v>
      </c>
    </row>
    <row r="10715" spans="1:2" x14ac:dyDescent="0.3">
      <c r="A10715" s="7" t="str">
        <f>HYPERLINK("http://www.eatonpowersource.com/products/details/819809","819809")</f>
        <v>819809</v>
      </c>
      <c r="B10715" s="8" t="s">
        <v>9653</v>
      </c>
    </row>
    <row r="10716" spans="1:2" x14ac:dyDescent="0.3">
      <c r="A10716" s="5" t="str">
        <f>HYPERLINK("http://www.eatonpowersource.com/products/details/819810","819810")</f>
        <v>819810</v>
      </c>
      <c r="B10716" s="6" t="s">
        <v>9653</v>
      </c>
    </row>
    <row r="10717" spans="1:2" x14ac:dyDescent="0.3">
      <c r="A10717" s="7" t="str">
        <f>HYPERLINK("http://www.eatonpowersource.com/products/details/819843","819843")</f>
        <v>819843</v>
      </c>
      <c r="B10717" s="8" t="s">
        <v>10088</v>
      </c>
    </row>
    <row r="10718" spans="1:2" x14ac:dyDescent="0.3">
      <c r="A10718" s="5" t="str">
        <f>HYPERLINK("http://www.eatonpowersource.com/products/details/819902","819902")</f>
        <v>819902</v>
      </c>
      <c r="B10718" s="6" t="s">
        <v>10088</v>
      </c>
    </row>
    <row r="10719" spans="1:2" x14ac:dyDescent="0.3">
      <c r="A10719" s="7" t="str">
        <f>HYPERLINK("http://www.eatonpowersource.com/products/details/857675","857675")</f>
        <v>857675</v>
      </c>
      <c r="B10719" s="8" t="s">
        <v>10391</v>
      </c>
    </row>
    <row r="10720" spans="1:2" x14ac:dyDescent="0.3">
      <c r="A10720" s="5" t="str">
        <f>HYPERLINK("http://www.eatonpowersource.com/products/details/858918","858918")</f>
        <v>858918</v>
      </c>
      <c r="B10720" s="6" t="s">
        <v>10392</v>
      </c>
    </row>
    <row r="10721" spans="1:2" x14ac:dyDescent="0.3">
      <c r="A10721" s="7" t="str">
        <f>HYPERLINK("http://www.eatonpowersource.com/products/details/858995","858995")</f>
        <v>858995</v>
      </c>
      <c r="B10721" s="8" t="s">
        <v>10393</v>
      </c>
    </row>
    <row r="10722" spans="1:2" x14ac:dyDescent="0.3">
      <c r="A10722" s="5" t="str">
        <f>HYPERLINK("http://www.eatonpowersource.com/products/details/858996","858996")</f>
        <v>858996</v>
      </c>
      <c r="B10722" s="6" t="s">
        <v>10394</v>
      </c>
    </row>
    <row r="10723" spans="1:2" x14ac:dyDescent="0.3">
      <c r="A10723" s="7" t="str">
        <f>HYPERLINK("http://www.eatonpowersource.com/products/details/859049","859049")</f>
        <v>859049</v>
      </c>
      <c r="B10723" s="8" t="s">
        <v>10395</v>
      </c>
    </row>
    <row r="10724" spans="1:2" x14ac:dyDescent="0.3">
      <c r="A10724" s="5" t="str">
        <f>HYPERLINK("http://www.eatonpowersource.com/products/details/859316","859316")</f>
        <v>859316</v>
      </c>
      <c r="B10724" s="6" t="s">
        <v>10396</v>
      </c>
    </row>
    <row r="10725" spans="1:2" x14ac:dyDescent="0.3">
      <c r="A10725" s="7" t="str">
        <f>HYPERLINK("http://www.eatonpowersource.com/products/details/860508","860508")</f>
        <v>860508</v>
      </c>
      <c r="B10725" s="8" t="s">
        <v>10397</v>
      </c>
    </row>
    <row r="10726" spans="1:2" x14ac:dyDescent="0.3">
      <c r="A10726" s="5" t="str">
        <f>HYPERLINK("http://www.eatonpowersource.com/products/details/860509","860509")</f>
        <v>860509</v>
      </c>
      <c r="B10726" s="6" t="s">
        <v>10398</v>
      </c>
    </row>
    <row r="10727" spans="1:2" x14ac:dyDescent="0.3">
      <c r="A10727" s="7" t="str">
        <f>HYPERLINK("http://www.eatonpowersource.com/products/details/860510","860510")</f>
        <v>860510</v>
      </c>
      <c r="B10727" s="8" t="s">
        <v>10399</v>
      </c>
    </row>
    <row r="10728" spans="1:2" x14ac:dyDescent="0.3">
      <c r="A10728" s="5" t="str">
        <f>HYPERLINK("http://www.eatonpowersource.com/products/details/860679","860679")</f>
        <v>860679</v>
      </c>
      <c r="B10728" s="6" t="s">
        <v>10400</v>
      </c>
    </row>
    <row r="10729" spans="1:2" x14ac:dyDescent="0.3">
      <c r="A10729" s="7" t="str">
        <f>HYPERLINK("http://www.eatonpowersource.com/products/details/860747","860747")</f>
        <v>860747</v>
      </c>
      <c r="B10729" s="8" t="s">
        <v>10401</v>
      </c>
    </row>
    <row r="10730" spans="1:2" x14ac:dyDescent="0.3">
      <c r="A10730" s="5" t="str">
        <f>HYPERLINK("http://www.eatonpowersource.com/products/details/860750","860750")</f>
        <v>860750</v>
      </c>
      <c r="B10730" s="6" t="s">
        <v>10402</v>
      </c>
    </row>
    <row r="10731" spans="1:2" x14ac:dyDescent="0.3">
      <c r="A10731" s="7" t="str">
        <f>HYPERLINK("http://www.eatonpowersource.com/products/details/860802","860802")</f>
        <v>860802</v>
      </c>
      <c r="B10731" s="8" t="s">
        <v>10206</v>
      </c>
    </row>
    <row r="10732" spans="1:2" x14ac:dyDescent="0.3">
      <c r="A10732" s="5" t="str">
        <f>HYPERLINK("http://www.eatonpowersource.com/products/details/864122","864122")</f>
        <v>864122</v>
      </c>
      <c r="B10732" s="6" t="s">
        <v>10403</v>
      </c>
    </row>
    <row r="10733" spans="1:2" x14ac:dyDescent="0.3">
      <c r="A10733" s="7" t="str">
        <f>HYPERLINK("http://www.eatonpowersource.com/products/details/864224","864224")</f>
        <v>864224</v>
      </c>
      <c r="B10733" s="8" t="s">
        <v>10109</v>
      </c>
    </row>
    <row r="10734" spans="1:2" x14ac:dyDescent="0.3">
      <c r="A10734" s="5" t="str">
        <f>HYPERLINK("http://www.eatonpowersource.com/products/details/864307","864307")</f>
        <v>864307</v>
      </c>
      <c r="B10734" s="6" t="s">
        <v>10404</v>
      </c>
    </row>
    <row r="10735" spans="1:2" x14ac:dyDescent="0.3">
      <c r="A10735" s="7" t="str">
        <f>HYPERLINK("http://www.eatonpowersource.com/products/details/864342","864342")</f>
        <v>864342</v>
      </c>
      <c r="B10735" s="8" t="s">
        <v>10405</v>
      </c>
    </row>
    <row r="10736" spans="1:2" x14ac:dyDescent="0.3">
      <c r="A10736" s="5" t="str">
        <f>HYPERLINK("http://www.eatonpowersource.com/products/details/864344","864344")</f>
        <v>864344</v>
      </c>
      <c r="B10736" s="6" t="s">
        <v>10406</v>
      </c>
    </row>
    <row r="10737" spans="1:2" x14ac:dyDescent="0.3">
      <c r="A10737" s="7" t="str">
        <f>HYPERLINK("http://www.eatonpowersource.com/products/details/864381","864381")</f>
        <v>864381</v>
      </c>
      <c r="B10737" s="8" t="s">
        <v>10407</v>
      </c>
    </row>
    <row r="10738" spans="1:2" x14ac:dyDescent="0.3">
      <c r="A10738" s="5" t="str">
        <f>HYPERLINK("http://www.eatonpowersource.com/products/details/864453","864453")</f>
        <v>864453</v>
      </c>
      <c r="B10738" s="6" t="s">
        <v>10408</v>
      </c>
    </row>
    <row r="10739" spans="1:2" x14ac:dyDescent="0.3">
      <c r="A10739" s="7" t="str">
        <f>HYPERLINK("http://www.eatonpowersource.com/products/details/864454","864454")</f>
        <v>864454</v>
      </c>
      <c r="B10739" s="8" t="s">
        <v>10409</v>
      </c>
    </row>
    <row r="10740" spans="1:2" x14ac:dyDescent="0.3">
      <c r="A10740" s="5" t="str">
        <f>HYPERLINK("http://www.eatonpowersource.com/products/details/864457","864457")</f>
        <v>864457</v>
      </c>
      <c r="B10740" s="6" t="s">
        <v>10109</v>
      </c>
    </row>
    <row r="10741" spans="1:2" x14ac:dyDescent="0.3">
      <c r="A10741" s="7" t="str">
        <f>HYPERLINK("http://www.eatonpowersource.com/products/details/864458","864458")</f>
        <v>864458</v>
      </c>
      <c r="B10741" s="8" t="s">
        <v>10410</v>
      </c>
    </row>
    <row r="10742" spans="1:2" x14ac:dyDescent="0.3">
      <c r="A10742" s="5" t="str">
        <f>HYPERLINK("http://www.eatonpowersource.com/products/details/864460","864460")</f>
        <v>864460</v>
      </c>
      <c r="B10742" s="6" t="s">
        <v>10109</v>
      </c>
    </row>
    <row r="10743" spans="1:2" x14ac:dyDescent="0.3">
      <c r="A10743" s="7" t="str">
        <f>HYPERLINK("http://www.eatonpowersource.com/products/details/865637","865637")</f>
        <v>865637</v>
      </c>
      <c r="B10743" s="8" t="s">
        <v>10195</v>
      </c>
    </row>
    <row r="10744" spans="1:2" x14ac:dyDescent="0.3">
      <c r="A10744" s="5" t="str">
        <f>HYPERLINK("http://www.eatonpowersource.com/products/details/865638","865638")</f>
        <v>865638</v>
      </c>
      <c r="B10744" s="6" t="s">
        <v>10195</v>
      </c>
    </row>
    <row r="10745" spans="1:2" x14ac:dyDescent="0.3">
      <c r="A10745" s="7" t="str">
        <f>HYPERLINK("http://www.eatonpowersource.com/products/details/865835","865835")</f>
        <v>865835</v>
      </c>
      <c r="B10745" s="8" t="s">
        <v>10411</v>
      </c>
    </row>
    <row r="10746" spans="1:2" x14ac:dyDescent="0.3">
      <c r="A10746" s="5" t="str">
        <f>HYPERLINK("http://www.eatonpowersource.com/products/details/865854","865854")</f>
        <v>865854</v>
      </c>
      <c r="B10746" s="6" t="s">
        <v>10412</v>
      </c>
    </row>
    <row r="10747" spans="1:2" x14ac:dyDescent="0.3">
      <c r="A10747" s="7" t="str">
        <f>HYPERLINK("http://www.eatonpowersource.com/products/details/865882","865882")</f>
        <v>865882</v>
      </c>
      <c r="B10747" s="8" t="s">
        <v>10413</v>
      </c>
    </row>
    <row r="10748" spans="1:2" x14ac:dyDescent="0.3">
      <c r="A10748" s="5" t="str">
        <f>HYPERLINK("http://www.eatonpowersource.com/products/details/865884","865884")</f>
        <v>865884</v>
      </c>
      <c r="B10748" s="6" t="s">
        <v>10414</v>
      </c>
    </row>
    <row r="10749" spans="1:2" x14ac:dyDescent="0.3">
      <c r="A10749" s="7" t="str">
        <f>HYPERLINK("http://www.eatonpowersource.com/products/details/865885","865885")</f>
        <v>865885</v>
      </c>
      <c r="B10749" s="8" t="s">
        <v>10195</v>
      </c>
    </row>
    <row r="10750" spans="1:2" x14ac:dyDescent="0.3">
      <c r="A10750" s="5" t="str">
        <f>HYPERLINK("http://www.eatonpowersource.com/products/details/865923","865923")</f>
        <v>865923</v>
      </c>
      <c r="B10750" s="6" t="s">
        <v>10415</v>
      </c>
    </row>
    <row r="10751" spans="1:2" x14ac:dyDescent="0.3">
      <c r="A10751" s="7" t="str">
        <f>HYPERLINK("http://www.eatonpowersource.com/products/details/866012","866012")</f>
        <v>866012</v>
      </c>
      <c r="B10751" s="8" t="s">
        <v>10088</v>
      </c>
    </row>
    <row r="10752" spans="1:2" x14ac:dyDescent="0.3">
      <c r="A10752" s="5" t="str">
        <f>HYPERLINK("http://www.eatonpowersource.com/products/details/866054","866054")</f>
        <v>866054</v>
      </c>
      <c r="B10752" s="6" t="s">
        <v>10416</v>
      </c>
    </row>
    <row r="10753" spans="1:2" x14ac:dyDescent="0.3">
      <c r="A10753" s="7" t="str">
        <f>HYPERLINK("http://www.eatonpowersource.com/products/details/866055","866055")</f>
        <v>866055</v>
      </c>
      <c r="B10753" s="8" t="s">
        <v>10417</v>
      </c>
    </row>
    <row r="10754" spans="1:2" x14ac:dyDescent="0.3">
      <c r="A10754" s="5" t="str">
        <f>HYPERLINK("http://www.eatonpowersource.com/products/details/866145","866145")</f>
        <v>866145</v>
      </c>
      <c r="B10754" s="6" t="s">
        <v>9925</v>
      </c>
    </row>
    <row r="10755" spans="1:2" x14ac:dyDescent="0.3">
      <c r="A10755" s="7" t="str">
        <f>HYPERLINK("http://www.eatonpowersource.com/products/details/866147","866147")</f>
        <v>866147</v>
      </c>
      <c r="B10755" s="8" t="s">
        <v>9925</v>
      </c>
    </row>
    <row r="10756" spans="1:2" x14ac:dyDescent="0.3">
      <c r="A10756" s="5" t="str">
        <f>HYPERLINK("http://www.eatonpowersource.com/products/details/866148","866148")</f>
        <v>866148</v>
      </c>
      <c r="B10756" s="6" t="s">
        <v>9925</v>
      </c>
    </row>
    <row r="10757" spans="1:2" x14ac:dyDescent="0.3">
      <c r="A10757" s="7" t="str">
        <f>HYPERLINK("http://www.eatonpowersource.com/products/details/866149","866149")</f>
        <v>866149</v>
      </c>
      <c r="B10757" s="8" t="s">
        <v>10418</v>
      </c>
    </row>
    <row r="10758" spans="1:2" x14ac:dyDescent="0.3">
      <c r="A10758" s="5" t="str">
        <f>HYPERLINK("http://www.eatonpowersource.com/products/details/866337","866337")</f>
        <v>866337</v>
      </c>
      <c r="B10758" s="6" t="s">
        <v>10419</v>
      </c>
    </row>
    <row r="10759" spans="1:2" x14ac:dyDescent="0.3">
      <c r="A10759" s="7" t="str">
        <f>HYPERLINK("http://www.eatonpowersource.com/products/details/866454","866454")</f>
        <v>866454</v>
      </c>
      <c r="B10759" s="8" t="s">
        <v>10420</v>
      </c>
    </row>
    <row r="10760" spans="1:2" x14ac:dyDescent="0.3">
      <c r="A10760" s="5" t="str">
        <f>HYPERLINK("http://www.eatonpowersource.com/products/details/867769","867769")</f>
        <v>867769</v>
      </c>
      <c r="B10760" s="6" t="s">
        <v>10421</v>
      </c>
    </row>
    <row r="10761" spans="1:2" x14ac:dyDescent="0.3">
      <c r="A10761" s="7" t="str">
        <f>HYPERLINK("http://www.eatonpowersource.com/products/details/868253","868253")</f>
        <v>868253</v>
      </c>
      <c r="B10761" s="8" t="s">
        <v>10422</v>
      </c>
    </row>
    <row r="10762" spans="1:2" x14ac:dyDescent="0.3">
      <c r="A10762" s="5" t="str">
        <f>HYPERLINK("http://www.eatonpowersource.com/products/details/868794","868794")</f>
        <v>868794</v>
      </c>
      <c r="B10762" s="6" t="s">
        <v>10423</v>
      </c>
    </row>
    <row r="10763" spans="1:2" x14ac:dyDescent="0.3">
      <c r="A10763" s="7" t="str">
        <f>HYPERLINK("http://www.eatonpowersource.com/products/details/868982","868982")</f>
        <v>868982</v>
      </c>
      <c r="B10763" s="8" t="s">
        <v>10061</v>
      </c>
    </row>
    <row r="10764" spans="1:2" x14ac:dyDescent="0.3">
      <c r="A10764" s="5" t="str">
        <f>HYPERLINK("http://www.eatonpowersource.com/products/details/869966","869966")</f>
        <v>869966</v>
      </c>
      <c r="B10764" s="6" t="s">
        <v>10424</v>
      </c>
    </row>
    <row r="10765" spans="1:2" x14ac:dyDescent="0.3">
      <c r="A10765" s="7" t="str">
        <f>HYPERLINK("http://www.eatonpowersource.com/products/details/870017","870017")</f>
        <v>870017</v>
      </c>
      <c r="B10765" s="8" t="s">
        <v>10425</v>
      </c>
    </row>
    <row r="10766" spans="1:2" x14ac:dyDescent="0.3">
      <c r="A10766" s="5" t="str">
        <f>HYPERLINK("http://www.eatonpowersource.com/products/details/870703","870703")</f>
        <v>870703</v>
      </c>
      <c r="B10766" s="6" t="s">
        <v>10426</v>
      </c>
    </row>
    <row r="10767" spans="1:2" x14ac:dyDescent="0.3">
      <c r="A10767" s="7" t="str">
        <f>HYPERLINK("http://www.eatonpowersource.com/products/details/870707","870707")</f>
        <v>870707</v>
      </c>
      <c r="B10767" s="8" t="s">
        <v>10427</v>
      </c>
    </row>
    <row r="10768" spans="1:2" x14ac:dyDescent="0.3">
      <c r="A10768" s="5" t="str">
        <f>HYPERLINK("http://www.eatonpowersource.com/products/details/870708","870708")</f>
        <v>870708</v>
      </c>
      <c r="B10768" s="6" t="s">
        <v>10428</v>
      </c>
    </row>
    <row r="10769" spans="1:2" x14ac:dyDescent="0.3">
      <c r="A10769" s="7" t="str">
        <f>HYPERLINK("http://www.eatonpowersource.com/products/details/870737","870737")</f>
        <v>870737</v>
      </c>
      <c r="B10769" s="8" t="s">
        <v>10429</v>
      </c>
    </row>
    <row r="10770" spans="1:2" x14ac:dyDescent="0.3">
      <c r="A10770" s="5" t="str">
        <f>HYPERLINK("http://www.eatonpowersource.com/products/details/870738","870738")</f>
        <v>870738</v>
      </c>
      <c r="B10770" s="6" t="s">
        <v>10430</v>
      </c>
    </row>
    <row r="10771" spans="1:2" x14ac:dyDescent="0.3">
      <c r="A10771" s="7" t="str">
        <f>HYPERLINK("http://www.eatonpowersource.com/products/details/870739","870739")</f>
        <v>870739</v>
      </c>
      <c r="B10771" s="8" t="s">
        <v>10431</v>
      </c>
    </row>
    <row r="10772" spans="1:2" x14ac:dyDescent="0.3">
      <c r="A10772" s="5" t="str">
        <f>HYPERLINK("http://www.eatonpowersource.com/products/details/872296","872296")</f>
        <v>872296</v>
      </c>
      <c r="B10772" s="6" t="s">
        <v>10432</v>
      </c>
    </row>
    <row r="10773" spans="1:2" x14ac:dyDescent="0.3">
      <c r="A10773" s="7" t="str">
        <f>HYPERLINK("http://www.eatonpowersource.com/products/details/872484","872484")</f>
        <v>872484</v>
      </c>
      <c r="B10773" s="8" t="s">
        <v>10433</v>
      </c>
    </row>
    <row r="10774" spans="1:2" x14ac:dyDescent="0.3">
      <c r="A10774" s="5" t="str">
        <f>HYPERLINK("http://www.eatonpowersource.com/products/details/872485","872485")</f>
        <v>872485</v>
      </c>
      <c r="B10774" s="6" t="s">
        <v>9653</v>
      </c>
    </row>
    <row r="10775" spans="1:2" x14ac:dyDescent="0.3">
      <c r="A10775" s="7" t="str">
        <f>HYPERLINK("http://www.eatonpowersource.com/products/details/872491","872491")</f>
        <v>872491</v>
      </c>
      <c r="B10775" s="8" t="s">
        <v>10434</v>
      </c>
    </row>
    <row r="10776" spans="1:2" x14ac:dyDescent="0.3">
      <c r="A10776" s="5" t="str">
        <f>HYPERLINK("http://www.eatonpowersource.com/products/details/872521","872521")</f>
        <v>872521</v>
      </c>
      <c r="B10776" s="6" t="s">
        <v>10418</v>
      </c>
    </row>
    <row r="10777" spans="1:2" x14ac:dyDescent="0.3">
      <c r="A10777" s="7" t="str">
        <f>HYPERLINK("http://www.eatonpowersource.com/products/details/872524","872524")</f>
        <v>872524</v>
      </c>
      <c r="B10777" s="8" t="s">
        <v>10435</v>
      </c>
    </row>
    <row r="10778" spans="1:2" x14ac:dyDescent="0.3">
      <c r="A10778" s="5" t="str">
        <f>HYPERLINK("http://www.eatonpowersource.com/products/details/872540","872540")</f>
        <v>872540</v>
      </c>
      <c r="B10778" s="6" t="s">
        <v>10418</v>
      </c>
    </row>
    <row r="10779" spans="1:2" x14ac:dyDescent="0.3">
      <c r="A10779" s="7" t="str">
        <f>HYPERLINK("http://www.eatonpowersource.com/products/details/872541","872541")</f>
        <v>872541</v>
      </c>
      <c r="B10779" s="8" t="s">
        <v>10418</v>
      </c>
    </row>
    <row r="10780" spans="1:2" x14ac:dyDescent="0.3">
      <c r="A10780" s="5" t="str">
        <f>HYPERLINK("http://www.eatonpowersource.com/products/details/872542","872542")</f>
        <v>872542</v>
      </c>
      <c r="B10780" s="6" t="s">
        <v>10418</v>
      </c>
    </row>
    <row r="10781" spans="1:2" x14ac:dyDescent="0.3">
      <c r="A10781" s="7" t="str">
        <f>HYPERLINK("http://www.eatonpowersource.com/products/details/872544","872544")</f>
        <v>872544</v>
      </c>
      <c r="B10781" s="8" t="s">
        <v>9653</v>
      </c>
    </row>
    <row r="10782" spans="1:2" x14ac:dyDescent="0.3">
      <c r="A10782" s="5" t="str">
        <f>HYPERLINK("http://www.eatonpowersource.com/products/details/872559","872559")</f>
        <v>872559</v>
      </c>
      <c r="B10782" s="6" t="s">
        <v>10418</v>
      </c>
    </row>
    <row r="10783" spans="1:2" x14ac:dyDescent="0.3">
      <c r="A10783" s="7" t="str">
        <f>HYPERLINK("http://www.eatonpowersource.com/products/details/872560","872560")</f>
        <v>872560</v>
      </c>
      <c r="B10783" s="8" t="s">
        <v>10418</v>
      </c>
    </row>
    <row r="10784" spans="1:2" x14ac:dyDescent="0.3">
      <c r="A10784" s="5" t="str">
        <f>HYPERLINK("http://www.eatonpowersource.com/products/details/872561","872561")</f>
        <v>872561</v>
      </c>
      <c r="B10784" s="6" t="s">
        <v>10418</v>
      </c>
    </row>
    <row r="10785" spans="1:2" x14ac:dyDescent="0.3">
      <c r="A10785" s="7" t="str">
        <f>HYPERLINK("http://www.eatonpowersource.com/products/details/872577","872577")</f>
        <v>872577</v>
      </c>
      <c r="B10785" s="8" t="s">
        <v>10418</v>
      </c>
    </row>
    <row r="10786" spans="1:2" x14ac:dyDescent="0.3">
      <c r="A10786" s="5" t="str">
        <f>HYPERLINK("http://www.eatonpowersource.com/products/details/872579","872579")</f>
        <v>872579</v>
      </c>
      <c r="B10786" s="6" t="s">
        <v>10418</v>
      </c>
    </row>
    <row r="10787" spans="1:2" x14ac:dyDescent="0.3">
      <c r="A10787" s="7" t="str">
        <f>HYPERLINK("http://www.eatonpowersource.com/products/details/873469","873469")</f>
        <v>873469</v>
      </c>
      <c r="B10787" s="8" t="s">
        <v>10436</v>
      </c>
    </row>
    <row r="10788" spans="1:2" x14ac:dyDescent="0.3">
      <c r="A10788" s="5" t="str">
        <f>HYPERLINK("http://www.eatonpowersource.com/products/details/873526","873526")</f>
        <v>873526</v>
      </c>
      <c r="B10788" s="6" t="s">
        <v>10437</v>
      </c>
    </row>
    <row r="10789" spans="1:2" x14ac:dyDescent="0.3">
      <c r="A10789" s="7" t="str">
        <f>HYPERLINK("http://www.eatonpowersource.com/products/details/873569","873569")</f>
        <v>873569</v>
      </c>
      <c r="B10789" s="8" t="s">
        <v>10438</v>
      </c>
    </row>
    <row r="10790" spans="1:2" x14ac:dyDescent="0.3">
      <c r="A10790" s="5" t="str">
        <f>HYPERLINK("http://www.eatonpowersource.com/products/details/873592","873592")</f>
        <v>873592</v>
      </c>
      <c r="B10790" s="6" t="s">
        <v>10439</v>
      </c>
    </row>
    <row r="10791" spans="1:2" x14ac:dyDescent="0.3">
      <c r="A10791" s="7" t="str">
        <f>HYPERLINK("http://www.eatonpowersource.com/products/details/873598","873598")</f>
        <v>873598</v>
      </c>
      <c r="B10791" s="8" t="s">
        <v>10440</v>
      </c>
    </row>
    <row r="10792" spans="1:2" x14ac:dyDescent="0.3">
      <c r="A10792" s="5" t="str">
        <f>HYPERLINK("http://www.eatonpowersource.com/products/details/873599","873599")</f>
        <v>873599</v>
      </c>
      <c r="B10792" s="6" t="s">
        <v>10441</v>
      </c>
    </row>
    <row r="10793" spans="1:2" x14ac:dyDescent="0.3">
      <c r="A10793" s="7" t="str">
        <f>HYPERLINK("http://www.eatonpowersource.com/products/details/873636","873636")</f>
        <v>873636</v>
      </c>
      <c r="B10793" s="8" t="s">
        <v>10442</v>
      </c>
    </row>
    <row r="10794" spans="1:2" x14ac:dyDescent="0.3">
      <c r="A10794" s="5" t="str">
        <f>HYPERLINK("http://www.eatonpowersource.com/products/details/873706","873706")</f>
        <v>873706</v>
      </c>
      <c r="B10794" s="6" t="s">
        <v>10443</v>
      </c>
    </row>
    <row r="10795" spans="1:2" x14ac:dyDescent="0.3">
      <c r="A10795" s="7" t="str">
        <f>HYPERLINK("http://www.eatonpowersource.com/products/details/873723","873723")</f>
        <v>873723</v>
      </c>
      <c r="B10795" s="8" t="s">
        <v>10444</v>
      </c>
    </row>
    <row r="10796" spans="1:2" x14ac:dyDescent="0.3">
      <c r="A10796" s="5" t="str">
        <f>HYPERLINK("http://www.eatonpowersource.com/products/details/873726","873726")</f>
        <v>873726</v>
      </c>
      <c r="B10796" s="6" t="s">
        <v>10445</v>
      </c>
    </row>
    <row r="10797" spans="1:2" x14ac:dyDescent="0.3">
      <c r="A10797" s="7" t="str">
        <f>HYPERLINK("http://www.eatonpowersource.com/products/details/873767","873767")</f>
        <v>873767</v>
      </c>
      <c r="B10797" s="8" t="s">
        <v>10446</v>
      </c>
    </row>
    <row r="10798" spans="1:2" x14ac:dyDescent="0.3">
      <c r="A10798" s="5" t="str">
        <f>HYPERLINK("http://www.eatonpowersource.com/products/details/873768","873768")</f>
        <v>873768</v>
      </c>
      <c r="B10798" s="6" t="s">
        <v>10447</v>
      </c>
    </row>
    <row r="10799" spans="1:2" x14ac:dyDescent="0.3">
      <c r="A10799" s="7" t="str">
        <f>HYPERLINK("http://www.eatonpowersource.com/products/details/874412","874412")</f>
        <v>874412</v>
      </c>
      <c r="B10799" s="8" t="s">
        <v>10448</v>
      </c>
    </row>
    <row r="10800" spans="1:2" x14ac:dyDescent="0.3">
      <c r="A10800" s="5" t="str">
        <f>HYPERLINK("http://www.eatonpowersource.com/products/details/875840","875840")</f>
        <v>875840</v>
      </c>
      <c r="B10800" s="6" t="s">
        <v>10449</v>
      </c>
    </row>
    <row r="10801" spans="1:2" x14ac:dyDescent="0.3">
      <c r="A10801" s="7" t="str">
        <f>HYPERLINK("http://www.eatonpowersource.com/products/details/876045","876045")</f>
        <v>876045</v>
      </c>
      <c r="B10801" s="8" t="s">
        <v>10450</v>
      </c>
    </row>
    <row r="10802" spans="1:2" x14ac:dyDescent="0.3">
      <c r="A10802" s="5" t="str">
        <f>HYPERLINK("http://www.eatonpowersource.com/products/details/876117","876117")</f>
        <v>876117</v>
      </c>
      <c r="B10802" s="6" t="s">
        <v>10451</v>
      </c>
    </row>
    <row r="10803" spans="1:2" x14ac:dyDescent="0.3">
      <c r="A10803" s="7" t="str">
        <f>HYPERLINK("http://www.eatonpowersource.com/products/details/876118","876118")</f>
        <v>876118</v>
      </c>
      <c r="B10803" s="8" t="s">
        <v>10452</v>
      </c>
    </row>
    <row r="10804" spans="1:2" x14ac:dyDescent="0.3">
      <c r="A10804" s="5" t="str">
        <f>HYPERLINK("http://www.eatonpowersource.com/products/details/876120","876120")</f>
        <v>876120</v>
      </c>
      <c r="B10804" s="6" t="s">
        <v>10453</v>
      </c>
    </row>
    <row r="10805" spans="1:2" x14ac:dyDescent="0.3">
      <c r="A10805" s="7" t="str">
        <f>HYPERLINK("http://www.eatonpowersource.com/products/details/876121","876121")</f>
        <v>876121</v>
      </c>
      <c r="B10805" s="8" t="s">
        <v>10454</v>
      </c>
    </row>
    <row r="10806" spans="1:2" x14ac:dyDescent="0.3">
      <c r="A10806" s="5" t="str">
        <f>HYPERLINK("http://www.eatonpowersource.com/products/details/876124","876124")</f>
        <v>876124</v>
      </c>
      <c r="B10806" s="6" t="s">
        <v>10455</v>
      </c>
    </row>
    <row r="10807" spans="1:2" x14ac:dyDescent="0.3">
      <c r="A10807" s="7" t="str">
        <f>HYPERLINK("http://www.eatonpowersource.com/products/details/876125","876125")</f>
        <v>876125</v>
      </c>
      <c r="B10807" s="8" t="s">
        <v>10456</v>
      </c>
    </row>
    <row r="10808" spans="1:2" x14ac:dyDescent="0.3">
      <c r="A10808" s="5" t="str">
        <f>HYPERLINK("http://www.eatonpowersource.com/products/details/876127","876127")</f>
        <v>876127</v>
      </c>
      <c r="B10808" s="6" t="s">
        <v>10457</v>
      </c>
    </row>
    <row r="10809" spans="1:2" x14ac:dyDescent="0.3">
      <c r="A10809" s="7" t="str">
        <f>HYPERLINK("http://www.eatonpowersource.com/products/details/876175","876175")</f>
        <v>876175</v>
      </c>
      <c r="B10809" s="8" t="s">
        <v>10055</v>
      </c>
    </row>
    <row r="10810" spans="1:2" x14ac:dyDescent="0.3">
      <c r="A10810" s="5" t="str">
        <f>HYPERLINK("http://www.eatonpowersource.com/products/details/876176","876176")</f>
        <v>876176</v>
      </c>
      <c r="B10810" s="6" t="s">
        <v>10458</v>
      </c>
    </row>
    <row r="10811" spans="1:2" x14ac:dyDescent="0.3">
      <c r="A10811" s="7" t="str">
        <f>HYPERLINK("http://www.eatonpowersource.com/products/details/876274","876274")</f>
        <v>876274</v>
      </c>
      <c r="B10811" s="8" t="s">
        <v>10459</v>
      </c>
    </row>
    <row r="10812" spans="1:2" x14ac:dyDescent="0.3">
      <c r="A10812" s="5" t="str">
        <f>HYPERLINK("http://www.eatonpowersource.com/products/details/876389","876389")</f>
        <v>876389</v>
      </c>
      <c r="B10812" s="6" t="s">
        <v>10460</v>
      </c>
    </row>
    <row r="10813" spans="1:2" x14ac:dyDescent="0.3">
      <c r="A10813" s="7" t="str">
        <f>HYPERLINK("http://www.eatonpowersource.com/products/details/876390","876390")</f>
        <v>876390</v>
      </c>
      <c r="B10813" s="8" t="s">
        <v>10461</v>
      </c>
    </row>
    <row r="10814" spans="1:2" x14ac:dyDescent="0.3">
      <c r="A10814" s="5" t="str">
        <f>HYPERLINK("http://www.eatonpowersource.com/products/details/876392","876392")</f>
        <v>876392</v>
      </c>
      <c r="B10814" s="6" t="s">
        <v>10462</v>
      </c>
    </row>
    <row r="10815" spans="1:2" x14ac:dyDescent="0.3">
      <c r="A10815" s="7" t="str">
        <f>HYPERLINK("http://www.eatonpowersource.com/products/details/876394","876394")</f>
        <v>876394</v>
      </c>
      <c r="B10815" s="8" t="s">
        <v>10463</v>
      </c>
    </row>
    <row r="10816" spans="1:2" x14ac:dyDescent="0.3">
      <c r="A10816" s="5" t="str">
        <f>HYPERLINK("http://www.eatonpowersource.com/products/details/877039","877039")</f>
        <v>877039</v>
      </c>
      <c r="B10816" s="6" t="s">
        <v>10464</v>
      </c>
    </row>
    <row r="10817" spans="1:2" x14ac:dyDescent="0.3">
      <c r="A10817" s="7" t="str">
        <f>HYPERLINK("http://www.eatonpowersource.com/products/details/877040","877040")</f>
        <v>877040</v>
      </c>
      <c r="B10817" s="8" t="s">
        <v>10465</v>
      </c>
    </row>
    <row r="10818" spans="1:2" x14ac:dyDescent="0.3">
      <c r="A10818" s="5" t="str">
        <f>HYPERLINK("http://www.eatonpowersource.com/products/details/877044","877044")</f>
        <v>877044</v>
      </c>
      <c r="B10818" s="6" t="s">
        <v>10109</v>
      </c>
    </row>
    <row r="10819" spans="1:2" x14ac:dyDescent="0.3">
      <c r="A10819" s="7" t="str">
        <f>HYPERLINK("http://www.eatonpowersource.com/products/details/877045","877045")</f>
        <v>877045</v>
      </c>
      <c r="B10819" s="8" t="s">
        <v>10109</v>
      </c>
    </row>
    <row r="10820" spans="1:2" x14ac:dyDescent="0.3">
      <c r="A10820" s="5" t="str">
        <f>HYPERLINK("http://www.eatonpowersource.com/products/details/877046","877046")</f>
        <v>877046</v>
      </c>
      <c r="B10820" s="6" t="s">
        <v>10466</v>
      </c>
    </row>
    <row r="10821" spans="1:2" x14ac:dyDescent="0.3">
      <c r="A10821" s="7" t="str">
        <f>HYPERLINK("http://www.eatonpowersource.com/products/details/877423","877423")</f>
        <v>877423</v>
      </c>
      <c r="B10821" s="8" t="s">
        <v>10467</v>
      </c>
    </row>
    <row r="10822" spans="1:2" x14ac:dyDescent="0.3">
      <c r="A10822" s="5" t="str">
        <f>HYPERLINK("http://www.eatonpowersource.com/products/details/877424","877424")</f>
        <v>877424</v>
      </c>
      <c r="B10822" s="6" t="s">
        <v>10468</v>
      </c>
    </row>
    <row r="10823" spans="1:2" x14ac:dyDescent="0.3">
      <c r="A10823" s="7" t="str">
        <f>HYPERLINK("http://www.eatonpowersource.com/products/details/877425","877425")</f>
        <v>877425</v>
      </c>
      <c r="B10823" s="8" t="s">
        <v>10469</v>
      </c>
    </row>
    <row r="10824" spans="1:2" x14ac:dyDescent="0.3">
      <c r="A10824" s="5" t="str">
        <f>HYPERLINK("http://www.eatonpowersource.com/products/details/877426","877426")</f>
        <v>877426</v>
      </c>
      <c r="B10824" s="6" t="s">
        <v>10470</v>
      </c>
    </row>
    <row r="10825" spans="1:2" x14ac:dyDescent="0.3">
      <c r="A10825" s="7" t="str">
        <f>HYPERLINK("http://www.eatonpowersource.com/products/details/878290","878290")</f>
        <v>878290</v>
      </c>
      <c r="B10825" s="8" t="s">
        <v>10471</v>
      </c>
    </row>
    <row r="10826" spans="1:2" x14ac:dyDescent="0.3">
      <c r="A10826" s="5" t="str">
        <f>HYPERLINK("http://www.eatonpowersource.com/products/details/879141","879141")</f>
        <v>879141</v>
      </c>
      <c r="B10826" s="6" t="s">
        <v>9604</v>
      </c>
    </row>
    <row r="10827" spans="1:2" x14ac:dyDescent="0.3">
      <c r="A10827" s="7" t="str">
        <f>HYPERLINK("http://www.eatonpowersource.com/products/details/879143","879143")</f>
        <v>879143</v>
      </c>
      <c r="B10827" s="8" t="s">
        <v>9604</v>
      </c>
    </row>
    <row r="10828" spans="1:2" x14ac:dyDescent="0.3">
      <c r="A10828" s="5" t="str">
        <f>HYPERLINK("http://www.eatonpowersource.com/products/details/879146","879146")</f>
        <v>879146</v>
      </c>
      <c r="B10828" s="6" t="s">
        <v>10472</v>
      </c>
    </row>
    <row r="10829" spans="1:2" x14ac:dyDescent="0.3">
      <c r="A10829" s="7" t="str">
        <f>HYPERLINK("http://www.eatonpowersource.com/products/details/879233","879233")</f>
        <v>879233</v>
      </c>
      <c r="B10829" s="8" t="s">
        <v>10473</v>
      </c>
    </row>
    <row r="10830" spans="1:2" x14ac:dyDescent="0.3">
      <c r="A10830" s="5" t="str">
        <f>HYPERLINK("http://www.eatonpowersource.com/products/details/882955","882955")</f>
        <v>882955</v>
      </c>
      <c r="B10830" s="6" t="s">
        <v>10474</v>
      </c>
    </row>
    <row r="10831" spans="1:2" x14ac:dyDescent="0.3">
      <c r="A10831" s="7" t="str">
        <f>HYPERLINK("http://www.eatonpowersource.com/products/details/882956","882956")</f>
        <v>882956</v>
      </c>
      <c r="B10831" s="8" t="s">
        <v>10475</v>
      </c>
    </row>
    <row r="10832" spans="1:2" x14ac:dyDescent="0.3">
      <c r="A10832" s="5" t="str">
        <f>HYPERLINK("http://www.eatonpowersource.com/products/details/883229","883229")</f>
        <v>883229</v>
      </c>
      <c r="B10832" s="6" t="s">
        <v>10476</v>
      </c>
    </row>
    <row r="10833" spans="1:2" x14ac:dyDescent="0.3">
      <c r="A10833" s="7" t="str">
        <f>HYPERLINK("http://www.eatonpowersource.com/products/details/883274","883274")</f>
        <v>883274</v>
      </c>
      <c r="B10833" s="8" t="s">
        <v>10477</v>
      </c>
    </row>
    <row r="10834" spans="1:2" x14ac:dyDescent="0.3">
      <c r="A10834" s="5" t="str">
        <f>HYPERLINK("http://www.eatonpowersource.com/products/details/892976","892976")</f>
        <v>892976</v>
      </c>
      <c r="B10834" s="6" t="s">
        <v>2797</v>
      </c>
    </row>
    <row r="10835" spans="1:2" x14ac:dyDescent="0.3">
      <c r="A10835" s="7" t="str">
        <f>HYPERLINK("http://www.eatonpowersource.com/products/details/893320","893320")</f>
        <v>893320</v>
      </c>
      <c r="B10835" s="8" t="s">
        <v>10160</v>
      </c>
    </row>
    <row r="10836" spans="1:2" x14ac:dyDescent="0.3">
      <c r="A10836" s="5" t="str">
        <f>HYPERLINK("http://www.eatonpowersource.com/products/details/913529","913529")</f>
        <v>913529</v>
      </c>
      <c r="B10836" s="6" t="s">
        <v>10478</v>
      </c>
    </row>
    <row r="10837" spans="1:2" x14ac:dyDescent="0.3">
      <c r="A10837" s="7" t="str">
        <f>HYPERLINK("http://www.eatonpowersource.com/products/details/913569","913569")</f>
        <v>913569</v>
      </c>
      <c r="B10837" s="8" t="s">
        <v>10479</v>
      </c>
    </row>
    <row r="10838" spans="1:2" x14ac:dyDescent="0.3">
      <c r="A10838" s="5" t="str">
        <f>HYPERLINK("http://www.eatonpowersource.com/products/details/913622","913622")</f>
        <v>913622</v>
      </c>
      <c r="B10838" s="6" t="s">
        <v>10480</v>
      </c>
    </row>
    <row r="10839" spans="1:2" x14ac:dyDescent="0.3">
      <c r="A10839" s="7" t="str">
        <f>HYPERLINK("http://www.eatonpowersource.com/products/details/916154","916154")</f>
        <v>916154</v>
      </c>
      <c r="B10839" s="8" t="s">
        <v>10481</v>
      </c>
    </row>
    <row r="10840" spans="1:2" x14ac:dyDescent="0.3">
      <c r="A10840" s="5" t="str">
        <f>HYPERLINK("http://www.eatonpowersource.com/products/details/919068","919068")</f>
        <v>919068</v>
      </c>
      <c r="B10840" s="6" t="s">
        <v>2797</v>
      </c>
    </row>
    <row r="10841" spans="1:2" x14ac:dyDescent="0.3">
      <c r="A10841" s="7" t="str">
        <f>HYPERLINK("http://www.eatonpowersource.com/products/details/919113","919113")</f>
        <v>919113</v>
      </c>
      <c r="B10841" s="8" t="s">
        <v>10482</v>
      </c>
    </row>
    <row r="10842" spans="1:2" x14ac:dyDescent="0.3">
      <c r="A10842" s="5" t="str">
        <f>HYPERLINK("http://www.eatonpowersource.com/products/details/919181","919181")</f>
        <v>919181</v>
      </c>
      <c r="B10842" s="6" t="s">
        <v>10483</v>
      </c>
    </row>
    <row r="10843" spans="1:2" x14ac:dyDescent="0.3">
      <c r="A10843" s="7" t="str">
        <f>HYPERLINK("http://www.eatonpowersource.com/products/details/919190","919190")</f>
        <v>919190</v>
      </c>
      <c r="B10843" s="8" t="s">
        <v>10484</v>
      </c>
    </row>
    <row r="10844" spans="1:2" x14ac:dyDescent="0.3">
      <c r="A10844" s="5" t="str">
        <f>HYPERLINK("http://www.eatonpowersource.com/products/details/919191","919191")</f>
        <v>919191</v>
      </c>
      <c r="B10844" s="6" t="s">
        <v>10485</v>
      </c>
    </row>
    <row r="10845" spans="1:2" x14ac:dyDescent="0.3">
      <c r="A10845" s="7" t="str">
        <f>HYPERLINK("http://www.eatonpowersource.com/products/details/919192","919192")</f>
        <v>919192</v>
      </c>
      <c r="B10845" s="8" t="s">
        <v>10486</v>
      </c>
    </row>
    <row r="10846" spans="1:2" x14ac:dyDescent="0.3">
      <c r="A10846" s="5" t="str">
        <f>HYPERLINK("http://www.eatonpowersource.com/products/details/919197","919197")</f>
        <v>919197</v>
      </c>
      <c r="B10846" s="6" t="s">
        <v>10487</v>
      </c>
    </row>
    <row r="10847" spans="1:2" x14ac:dyDescent="0.3">
      <c r="A10847" s="7" t="str">
        <f>HYPERLINK("http://www.eatonpowersource.com/products/details/919213","919213")</f>
        <v>919213</v>
      </c>
      <c r="B10847" s="8" t="s">
        <v>10488</v>
      </c>
    </row>
    <row r="10848" spans="1:2" x14ac:dyDescent="0.3">
      <c r="A10848" s="5" t="str">
        <f>HYPERLINK("http://www.eatonpowersource.com/products/details/919214","919214")</f>
        <v>919214</v>
      </c>
      <c r="B10848" s="6" t="s">
        <v>10489</v>
      </c>
    </row>
    <row r="10849" spans="1:2" x14ac:dyDescent="0.3">
      <c r="A10849" s="7" t="str">
        <f>HYPERLINK("http://www.eatonpowersource.com/products/details/919224","919224")</f>
        <v>919224</v>
      </c>
      <c r="B10849" s="8" t="s">
        <v>10490</v>
      </c>
    </row>
    <row r="10850" spans="1:2" x14ac:dyDescent="0.3">
      <c r="A10850" s="5" t="str">
        <f>HYPERLINK("http://www.eatonpowersource.com/products/details/919230","919230")</f>
        <v>919230</v>
      </c>
      <c r="B10850" s="6" t="s">
        <v>10491</v>
      </c>
    </row>
    <row r="10851" spans="1:2" x14ac:dyDescent="0.3">
      <c r="A10851" s="7" t="str">
        <f>HYPERLINK("http://www.eatonpowersource.com/products/details/919236","919236")</f>
        <v>919236</v>
      </c>
      <c r="B10851" s="8" t="s">
        <v>10492</v>
      </c>
    </row>
    <row r="10852" spans="1:2" x14ac:dyDescent="0.3">
      <c r="A10852" s="5" t="str">
        <f>HYPERLINK("http://www.eatonpowersource.com/products/details/919239","919239")</f>
        <v>919239</v>
      </c>
      <c r="B10852" s="6" t="s">
        <v>10493</v>
      </c>
    </row>
    <row r="10853" spans="1:2" x14ac:dyDescent="0.3">
      <c r="A10853" s="7" t="str">
        <f>HYPERLINK("http://www.eatonpowersource.com/products/details/919242","919242")</f>
        <v>919242</v>
      </c>
      <c r="B10853" s="8" t="s">
        <v>10494</v>
      </c>
    </row>
    <row r="10854" spans="1:2" x14ac:dyDescent="0.3">
      <c r="A10854" s="5" t="str">
        <f>HYPERLINK("http://www.eatonpowersource.com/products/details/919248","919248")</f>
        <v>919248</v>
      </c>
      <c r="B10854" s="6" t="s">
        <v>10495</v>
      </c>
    </row>
    <row r="10855" spans="1:2" x14ac:dyDescent="0.3">
      <c r="A10855" s="7" t="str">
        <f>HYPERLINK("http://www.eatonpowersource.com/products/details/919253","919253")</f>
        <v>919253</v>
      </c>
      <c r="B10855" s="8" t="s">
        <v>10496</v>
      </c>
    </row>
    <row r="10856" spans="1:2" x14ac:dyDescent="0.3">
      <c r="A10856" s="5" t="str">
        <f>HYPERLINK("http://www.eatonpowersource.com/products/details/919262","919262")</f>
        <v>919262</v>
      </c>
      <c r="B10856" s="6" t="s">
        <v>10497</v>
      </c>
    </row>
    <row r="10857" spans="1:2" x14ac:dyDescent="0.3">
      <c r="A10857" s="7" t="str">
        <f>HYPERLINK("http://www.eatonpowersource.com/products/details/919273","919273")</f>
        <v>919273</v>
      </c>
      <c r="B10857" s="8" t="s">
        <v>10498</v>
      </c>
    </row>
    <row r="10858" spans="1:2" x14ac:dyDescent="0.3">
      <c r="A10858" s="5" t="str">
        <f>HYPERLINK("http://www.eatonpowersource.com/products/details/919274","919274")</f>
        <v>919274</v>
      </c>
      <c r="B10858" s="6" t="s">
        <v>10499</v>
      </c>
    </row>
    <row r="10859" spans="1:2" x14ac:dyDescent="0.3">
      <c r="A10859" s="7" t="str">
        <f>HYPERLINK("http://www.eatonpowersource.com/products/details/919284","919284")</f>
        <v>919284</v>
      </c>
      <c r="B10859" s="8" t="s">
        <v>10500</v>
      </c>
    </row>
    <row r="10860" spans="1:2" x14ac:dyDescent="0.3">
      <c r="A10860" s="5" t="str">
        <f>HYPERLINK("http://www.eatonpowersource.com/products/details/919286","919286")</f>
        <v>919286</v>
      </c>
      <c r="B10860" s="6" t="s">
        <v>10501</v>
      </c>
    </row>
    <row r="10861" spans="1:2" x14ac:dyDescent="0.3">
      <c r="A10861" s="7" t="str">
        <f>HYPERLINK("http://www.eatonpowersource.com/products/details/919303","919303")</f>
        <v>919303</v>
      </c>
      <c r="B10861" s="8" t="s">
        <v>10502</v>
      </c>
    </row>
    <row r="10862" spans="1:2" x14ac:dyDescent="0.3">
      <c r="A10862" s="5" t="str">
        <f>HYPERLINK("http://www.eatonpowersource.com/products/details/919305","919305")</f>
        <v>919305</v>
      </c>
      <c r="B10862" s="6" t="s">
        <v>10503</v>
      </c>
    </row>
    <row r="10863" spans="1:2" x14ac:dyDescent="0.3">
      <c r="A10863" s="7" t="str">
        <f>HYPERLINK("http://www.eatonpowersource.com/products/details/919316","919316")</f>
        <v>919316</v>
      </c>
      <c r="B10863" s="8" t="s">
        <v>10504</v>
      </c>
    </row>
    <row r="10864" spans="1:2" x14ac:dyDescent="0.3">
      <c r="A10864" s="5" t="str">
        <f>HYPERLINK("http://www.eatonpowersource.com/products/details/919323","919323")</f>
        <v>919323</v>
      </c>
      <c r="B10864" s="6" t="s">
        <v>10505</v>
      </c>
    </row>
    <row r="10865" spans="1:2" x14ac:dyDescent="0.3">
      <c r="A10865" s="7" t="str">
        <f>HYPERLINK("http://www.eatonpowersource.com/products/details/919345","919345")</f>
        <v>919345</v>
      </c>
      <c r="B10865" s="8" t="s">
        <v>10506</v>
      </c>
    </row>
    <row r="10866" spans="1:2" x14ac:dyDescent="0.3">
      <c r="A10866" s="5" t="str">
        <f>HYPERLINK("http://www.eatonpowersource.com/products/details/919346","919346")</f>
        <v>919346</v>
      </c>
      <c r="B10866" s="6" t="s">
        <v>10507</v>
      </c>
    </row>
    <row r="10867" spans="1:2" x14ac:dyDescent="0.3">
      <c r="A10867" s="7" t="str">
        <f>HYPERLINK("http://www.eatonpowersource.com/products/details/919359","919359")</f>
        <v>919359</v>
      </c>
      <c r="B10867" s="8" t="s">
        <v>10508</v>
      </c>
    </row>
    <row r="10868" spans="1:2" x14ac:dyDescent="0.3">
      <c r="A10868" s="5" t="str">
        <f>HYPERLINK("http://www.eatonpowersource.com/products/details/919379","919379")</f>
        <v>919379</v>
      </c>
      <c r="B10868" s="6" t="s">
        <v>10509</v>
      </c>
    </row>
    <row r="10869" spans="1:2" x14ac:dyDescent="0.3">
      <c r="A10869" s="7" t="str">
        <f>HYPERLINK("http://www.eatonpowersource.com/products/details/919381","919381")</f>
        <v>919381</v>
      </c>
      <c r="B10869" s="8" t="s">
        <v>10510</v>
      </c>
    </row>
    <row r="10870" spans="1:2" x14ac:dyDescent="0.3">
      <c r="A10870" s="5" t="str">
        <f>HYPERLINK("http://www.eatonpowersource.com/products/details/919382","919382")</f>
        <v>919382</v>
      </c>
      <c r="B10870" s="6" t="s">
        <v>10511</v>
      </c>
    </row>
    <row r="10871" spans="1:2" x14ac:dyDescent="0.3">
      <c r="A10871" s="7" t="str">
        <f>HYPERLINK("http://www.eatonpowersource.com/products/details/919398","919398")</f>
        <v>919398</v>
      </c>
      <c r="B10871" s="8" t="s">
        <v>10512</v>
      </c>
    </row>
    <row r="10872" spans="1:2" x14ac:dyDescent="0.3">
      <c r="A10872" s="5" t="str">
        <f>HYPERLINK("http://www.eatonpowersource.com/products/details/919409","919409")</f>
        <v>919409</v>
      </c>
      <c r="B10872" s="6" t="s">
        <v>10513</v>
      </c>
    </row>
    <row r="10873" spans="1:2" x14ac:dyDescent="0.3">
      <c r="A10873" s="7" t="str">
        <f>HYPERLINK("http://www.eatonpowersource.com/products/details/919417","919417")</f>
        <v>919417</v>
      </c>
      <c r="B10873" s="8" t="s">
        <v>10514</v>
      </c>
    </row>
    <row r="10874" spans="1:2" x14ac:dyDescent="0.3">
      <c r="A10874" s="5" t="str">
        <f>HYPERLINK("http://www.eatonpowersource.com/products/details/919423","919423")</f>
        <v>919423</v>
      </c>
      <c r="B10874" s="6" t="s">
        <v>10515</v>
      </c>
    </row>
    <row r="10875" spans="1:2" x14ac:dyDescent="0.3">
      <c r="A10875" s="7" t="str">
        <f>HYPERLINK("http://www.eatonpowersource.com/products/details/919432","919432")</f>
        <v>919432</v>
      </c>
      <c r="B10875" s="8" t="s">
        <v>10516</v>
      </c>
    </row>
    <row r="10876" spans="1:2" x14ac:dyDescent="0.3">
      <c r="A10876" s="5" t="str">
        <f>HYPERLINK("http://www.eatonpowersource.com/products/details/919442","919442")</f>
        <v>919442</v>
      </c>
      <c r="B10876" s="6" t="s">
        <v>10517</v>
      </c>
    </row>
    <row r="10877" spans="1:2" x14ac:dyDescent="0.3">
      <c r="A10877" s="7" t="str">
        <f>HYPERLINK("http://www.eatonpowersource.com/products/details/919444","919444")</f>
        <v>919444</v>
      </c>
      <c r="B10877" s="8" t="s">
        <v>10518</v>
      </c>
    </row>
    <row r="10878" spans="1:2" x14ac:dyDescent="0.3">
      <c r="A10878" s="5" t="str">
        <f>HYPERLINK("http://www.eatonpowersource.com/products/details/919449","919449")</f>
        <v>919449</v>
      </c>
      <c r="B10878" s="6" t="s">
        <v>10519</v>
      </c>
    </row>
    <row r="10879" spans="1:2" x14ac:dyDescent="0.3">
      <c r="A10879" s="7" t="str">
        <f>HYPERLINK("http://www.eatonpowersource.com/products/details/919498","919498")</f>
        <v>919498</v>
      </c>
      <c r="B10879" s="8" t="s">
        <v>10520</v>
      </c>
    </row>
    <row r="10880" spans="1:2" x14ac:dyDescent="0.3">
      <c r="A10880" s="5" t="str">
        <f>HYPERLINK("http://www.eatonpowersource.com/products/details/919508","919508")</f>
        <v>919508</v>
      </c>
      <c r="B10880" s="6" t="s">
        <v>10521</v>
      </c>
    </row>
    <row r="10881" spans="1:2" x14ac:dyDescent="0.3">
      <c r="A10881" s="7" t="str">
        <f>HYPERLINK("http://www.eatonpowersource.com/products/details/919521","919521")</f>
        <v>919521</v>
      </c>
      <c r="B10881" s="8" t="s">
        <v>10522</v>
      </c>
    </row>
    <row r="10882" spans="1:2" x14ac:dyDescent="0.3">
      <c r="A10882" s="5" t="str">
        <f>HYPERLINK("http://www.eatonpowersource.com/products/details/919615","919615")</f>
        <v>919615</v>
      </c>
      <c r="B10882" s="6" t="s">
        <v>10523</v>
      </c>
    </row>
    <row r="10883" spans="1:2" x14ac:dyDescent="0.3">
      <c r="A10883" s="7" t="str">
        <f>HYPERLINK("http://www.eatonpowersource.com/products/details/919620","919620")</f>
        <v>919620</v>
      </c>
      <c r="B10883" s="8" t="s">
        <v>10524</v>
      </c>
    </row>
    <row r="10884" spans="1:2" x14ac:dyDescent="0.3">
      <c r="A10884" s="5" t="str">
        <f>HYPERLINK("http://www.eatonpowersource.com/products/details/919632","919632")</f>
        <v>919632</v>
      </c>
      <c r="B10884" s="6" t="s">
        <v>10525</v>
      </c>
    </row>
    <row r="10885" spans="1:2" x14ac:dyDescent="0.3">
      <c r="A10885" s="7" t="str">
        <f>HYPERLINK("http://www.eatonpowersource.com/products/details/919640","919640")</f>
        <v>919640</v>
      </c>
      <c r="B10885" s="8" t="s">
        <v>10526</v>
      </c>
    </row>
    <row r="10886" spans="1:2" x14ac:dyDescent="0.3">
      <c r="A10886" s="5" t="str">
        <f>HYPERLINK("http://www.eatonpowersource.com/products/details/919643","919643")</f>
        <v>919643</v>
      </c>
      <c r="B10886" s="6" t="s">
        <v>10527</v>
      </c>
    </row>
    <row r="10887" spans="1:2" x14ac:dyDescent="0.3">
      <c r="A10887" s="7" t="str">
        <f>HYPERLINK("http://www.eatonpowersource.com/products/details/919645","919645")</f>
        <v>919645</v>
      </c>
      <c r="B10887" s="8" t="s">
        <v>10528</v>
      </c>
    </row>
    <row r="10888" spans="1:2" x14ac:dyDescent="0.3">
      <c r="A10888" s="5" t="str">
        <f>HYPERLINK("http://www.eatonpowersource.com/products/details/919656","919656")</f>
        <v>919656</v>
      </c>
      <c r="B10888" s="6" t="s">
        <v>10529</v>
      </c>
    </row>
    <row r="10889" spans="1:2" x14ac:dyDescent="0.3">
      <c r="A10889" s="7" t="str">
        <f>HYPERLINK("http://www.eatonpowersource.com/products/details/919659","919659")</f>
        <v>919659</v>
      </c>
      <c r="B10889" s="8" t="s">
        <v>10530</v>
      </c>
    </row>
    <row r="10890" spans="1:2" x14ac:dyDescent="0.3">
      <c r="A10890" s="5" t="str">
        <f>HYPERLINK("http://www.eatonpowersource.com/products/details/919671","919671")</f>
        <v>919671</v>
      </c>
      <c r="B10890" s="6" t="s">
        <v>10531</v>
      </c>
    </row>
    <row r="10891" spans="1:2" x14ac:dyDescent="0.3">
      <c r="A10891" s="7" t="str">
        <f>HYPERLINK("http://www.eatonpowersource.com/products/details/919672","919672")</f>
        <v>919672</v>
      </c>
      <c r="B10891" s="8" t="s">
        <v>10532</v>
      </c>
    </row>
    <row r="10892" spans="1:2" x14ac:dyDescent="0.3">
      <c r="A10892" s="5" t="str">
        <f>HYPERLINK("http://www.eatonpowersource.com/products/details/919677","919677")</f>
        <v>919677</v>
      </c>
      <c r="B10892" s="6" t="s">
        <v>2797</v>
      </c>
    </row>
    <row r="10893" spans="1:2" x14ac:dyDescent="0.3">
      <c r="A10893" s="7" t="str">
        <f>HYPERLINK("http://www.eatonpowersource.com/products/details/919679","919679")</f>
        <v>919679</v>
      </c>
      <c r="B10893" s="8" t="s">
        <v>10533</v>
      </c>
    </row>
    <row r="10894" spans="1:2" x14ac:dyDescent="0.3">
      <c r="A10894" s="5" t="str">
        <f>HYPERLINK("http://www.eatonpowersource.com/products/details/919682","919682")</f>
        <v>919682</v>
      </c>
      <c r="B10894" s="6" t="s">
        <v>10534</v>
      </c>
    </row>
    <row r="10895" spans="1:2" x14ac:dyDescent="0.3">
      <c r="A10895" s="7" t="str">
        <f>HYPERLINK("http://www.eatonpowersource.com/products/details/919683","919683")</f>
        <v>919683</v>
      </c>
      <c r="B10895" s="8" t="s">
        <v>10535</v>
      </c>
    </row>
    <row r="10896" spans="1:2" x14ac:dyDescent="0.3">
      <c r="A10896" s="5" t="str">
        <f>HYPERLINK("http://www.eatonpowersource.com/products/details/919686","919686")</f>
        <v>919686</v>
      </c>
      <c r="B10896" s="6" t="s">
        <v>10536</v>
      </c>
    </row>
    <row r="10897" spans="1:2" x14ac:dyDescent="0.3">
      <c r="A10897" s="7" t="str">
        <f>HYPERLINK("http://www.eatonpowersource.com/products/details/919691","919691")</f>
        <v>919691</v>
      </c>
      <c r="B10897" s="8" t="s">
        <v>10537</v>
      </c>
    </row>
    <row r="10898" spans="1:2" x14ac:dyDescent="0.3">
      <c r="A10898" s="5" t="str">
        <f>HYPERLINK("http://www.eatonpowersource.com/products/details/919729","919729")</f>
        <v>919729</v>
      </c>
      <c r="B10898" s="6" t="s">
        <v>10538</v>
      </c>
    </row>
    <row r="10899" spans="1:2" x14ac:dyDescent="0.3">
      <c r="A10899" s="7" t="str">
        <f>HYPERLINK("http://www.eatonpowersource.com/products/details/919740","919740")</f>
        <v>919740</v>
      </c>
      <c r="B10899" s="8" t="s">
        <v>10539</v>
      </c>
    </row>
    <row r="10900" spans="1:2" x14ac:dyDescent="0.3">
      <c r="A10900" s="5" t="str">
        <f>HYPERLINK("http://www.eatonpowersource.com/products/details/919777","919777")</f>
        <v>919777</v>
      </c>
      <c r="B10900" s="6" t="s">
        <v>10540</v>
      </c>
    </row>
    <row r="10901" spans="1:2" x14ac:dyDescent="0.3">
      <c r="A10901" s="7" t="str">
        <f>HYPERLINK("http://www.eatonpowersource.com/products/details/919778","919778")</f>
        <v>919778</v>
      </c>
      <c r="B10901" s="8" t="s">
        <v>10541</v>
      </c>
    </row>
    <row r="10902" spans="1:2" x14ac:dyDescent="0.3">
      <c r="A10902" s="5" t="str">
        <f>HYPERLINK("http://www.eatonpowersource.com/products/details/919781","919781")</f>
        <v>919781</v>
      </c>
      <c r="B10902" s="6" t="s">
        <v>10542</v>
      </c>
    </row>
    <row r="10903" spans="1:2" x14ac:dyDescent="0.3">
      <c r="A10903" s="7" t="str">
        <f>HYPERLINK("http://www.eatonpowersource.com/products/details/919805","919805")</f>
        <v>919805</v>
      </c>
      <c r="B10903" s="8" t="s">
        <v>10543</v>
      </c>
    </row>
    <row r="10904" spans="1:2" x14ac:dyDescent="0.3">
      <c r="A10904" s="5" t="str">
        <f>HYPERLINK("http://www.eatonpowersource.com/products/details/919836","919836")</f>
        <v>919836</v>
      </c>
      <c r="B10904" s="6" t="s">
        <v>10544</v>
      </c>
    </row>
    <row r="10905" spans="1:2" x14ac:dyDescent="0.3">
      <c r="A10905" s="7" t="str">
        <f>HYPERLINK("http://www.eatonpowersource.com/products/details/919847","919847")</f>
        <v>919847</v>
      </c>
      <c r="B10905" s="8" t="s">
        <v>10545</v>
      </c>
    </row>
    <row r="10906" spans="1:2" x14ac:dyDescent="0.3">
      <c r="A10906" s="5" t="str">
        <f>HYPERLINK("http://www.eatonpowersource.com/products/details/919850","919850")</f>
        <v>919850</v>
      </c>
      <c r="B10906" s="6" t="s">
        <v>10546</v>
      </c>
    </row>
    <row r="10907" spans="1:2" x14ac:dyDescent="0.3">
      <c r="A10907" s="7" t="str">
        <f>HYPERLINK("http://www.eatonpowersource.com/products/details/919854","919854")</f>
        <v>919854</v>
      </c>
      <c r="B10907" s="8" t="s">
        <v>10547</v>
      </c>
    </row>
    <row r="10908" spans="1:2" x14ac:dyDescent="0.3">
      <c r="A10908" s="5" t="str">
        <f>HYPERLINK("http://www.eatonpowersource.com/products/details/919890","919890")</f>
        <v>919890</v>
      </c>
      <c r="B10908" s="6" t="s">
        <v>10548</v>
      </c>
    </row>
    <row r="10909" spans="1:2" x14ac:dyDescent="0.3">
      <c r="A10909" s="7" t="str">
        <f>HYPERLINK("http://www.eatonpowersource.com/products/details/919920","919920")</f>
        <v>919920</v>
      </c>
      <c r="B10909" s="8" t="s">
        <v>2797</v>
      </c>
    </row>
    <row r="10910" spans="1:2" x14ac:dyDescent="0.3">
      <c r="A10910" s="5" t="str">
        <f>HYPERLINK("http://www.eatonpowersource.com/products/details/920015","920015")</f>
        <v>920015</v>
      </c>
      <c r="B10910" s="6" t="s">
        <v>10549</v>
      </c>
    </row>
    <row r="10911" spans="1:2" x14ac:dyDescent="0.3">
      <c r="A10911" s="7" t="str">
        <f>HYPERLINK("http://www.eatonpowersource.com/products/details/920016","920016")</f>
        <v>920016</v>
      </c>
      <c r="B10911" s="8" t="s">
        <v>10550</v>
      </c>
    </row>
    <row r="10912" spans="1:2" x14ac:dyDescent="0.3">
      <c r="A10912" s="5" t="str">
        <f>HYPERLINK("http://www.eatonpowersource.com/products/details/920021","920021")</f>
        <v>920021</v>
      </c>
      <c r="B10912" s="6" t="s">
        <v>10551</v>
      </c>
    </row>
    <row r="10913" spans="1:2" x14ac:dyDescent="0.3">
      <c r="A10913" s="7" t="str">
        <f>HYPERLINK("http://www.eatonpowersource.com/products/details/920022","920022")</f>
        <v>920022</v>
      </c>
      <c r="B10913" s="8" t="s">
        <v>10552</v>
      </c>
    </row>
    <row r="10914" spans="1:2" x14ac:dyDescent="0.3">
      <c r="A10914" s="5" t="str">
        <f>HYPERLINK("http://www.eatonpowersource.com/products/details/920025","920025")</f>
        <v>920025</v>
      </c>
      <c r="B10914" s="6" t="s">
        <v>10553</v>
      </c>
    </row>
    <row r="10915" spans="1:2" x14ac:dyDescent="0.3">
      <c r="A10915" s="7" t="str">
        <f>HYPERLINK("http://www.eatonpowersource.com/products/details/920026","920026")</f>
        <v>920026</v>
      </c>
      <c r="B10915" s="8" t="s">
        <v>10554</v>
      </c>
    </row>
    <row r="10916" spans="1:2" x14ac:dyDescent="0.3">
      <c r="A10916" s="5" t="str">
        <f>HYPERLINK("http://www.eatonpowersource.com/products/details/920027","920027")</f>
        <v>920027</v>
      </c>
      <c r="B10916" s="6" t="s">
        <v>10555</v>
      </c>
    </row>
    <row r="10917" spans="1:2" x14ac:dyDescent="0.3">
      <c r="A10917" s="7" t="str">
        <f>HYPERLINK("http://www.eatonpowersource.com/products/details/920029","920029")</f>
        <v>920029</v>
      </c>
      <c r="B10917" s="8" t="s">
        <v>10556</v>
      </c>
    </row>
    <row r="10918" spans="1:2" x14ac:dyDescent="0.3">
      <c r="A10918" s="5" t="str">
        <f>HYPERLINK("http://www.eatonpowersource.com/products/details/920037","920037")</f>
        <v>920037</v>
      </c>
      <c r="B10918" s="6" t="s">
        <v>10557</v>
      </c>
    </row>
    <row r="10919" spans="1:2" x14ac:dyDescent="0.3">
      <c r="A10919" s="7" t="str">
        <f>HYPERLINK("http://www.eatonpowersource.com/products/details/920040","920040")</f>
        <v>920040</v>
      </c>
      <c r="B10919" s="8" t="s">
        <v>10558</v>
      </c>
    </row>
    <row r="10920" spans="1:2" x14ac:dyDescent="0.3">
      <c r="A10920" s="5" t="str">
        <f>HYPERLINK("http://www.eatonpowersource.com/products/details/920041","920041")</f>
        <v>920041</v>
      </c>
      <c r="B10920" s="6" t="s">
        <v>10559</v>
      </c>
    </row>
    <row r="10921" spans="1:2" x14ac:dyDescent="0.3">
      <c r="A10921" s="7" t="str">
        <f>HYPERLINK("http://www.eatonpowersource.com/products/details/920042","920042")</f>
        <v>920042</v>
      </c>
      <c r="B10921" s="8" t="s">
        <v>10560</v>
      </c>
    </row>
    <row r="10922" spans="1:2" x14ac:dyDescent="0.3">
      <c r="A10922" s="5" t="str">
        <f>HYPERLINK("http://www.eatonpowersource.com/products/details/920043","920043")</f>
        <v>920043</v>
      </c>
      <c r="B10922" s="6" t="s">
        <v>10561</v>
      </c>
    </row>
    <row r="10923" spans="1:2" x14ac:dyDescent="0.3">
      <c r="A10923" s="7" t="str">
        <f>HYPERLINK("http://www.eatonpowersource.com/products/details/920048","920048")</f>
        <v>920048</v>
      </c>
      <c r="B10923" s="8" t="s">
        <v>10562</v>
      </c>
    </row>
    <row r="10924" spans="1:2" x14ac:dyDescent="0.3">
      <c r="A10924" s="5" t="str">
        <f>HYPERLINK("http://www.eatonpowersource.com/products/details/920049","920049")</f>
        <v>920049</v>
      </c>
      <c r="B10924" s="6" t="s">
        <v>10563</v>
      </c>
    </row>
    <row r="10925" spans="1:2" x14ac:dyDescent="0.3">
      <c r="A10925" s="7" t="str">
        <f>HYPERLINK("http://www.eatonpowersource.com/products/details/920056","920056")</f>
        <v>920056</v>
      </c>
      <c r="B10925" s="8" t="s">
        <v>10564</v>
      </c>
    </row>
    <row r="10926" spans="1:2" x14ac:dyDescent="0.3">
      <c r="A10926" s="5" t="str">
        <f>HYPERLINK("http://www.eatonpowersource.com/products/details/920057","920057")</f>
        <v>920057</v>
      </c>
      <c r="B10926" s="6" t="s">
        <v>10565</v>
      </c>
    </row>
    <row r="10927" spans="1:2" x14ac:dyDescent="0.3">
      <c r="A10927" s="7" t="str">
        <f>HYPERLINK("http://www.eatonpowersource.com/products/details/920058","920058")</f>
        <v>920058</v>
      </c>
      <c r="B10927" s="8" t="s">
        <v>10566</v>
      </c>
    </row>
    <row r="10928" spans="1:2" x14ac:dyDescent="0.3">
      <c r="A10928" s="5" t="str">
        <f>HYPERLINK("http://www.eatonpowersource.com/products/details/920060","920060")</f>
        <v>920060</v>
      </c>
      <c r="B10928" s="6" t="s">
        <v>10567</v>
      </c>
    </row>
    <row r="10929" spans="1:2" x14ac:dyDescent="0.3">
      <c r="A10929" s="7" t="str">
        <f>HYPERLINK("http://www.eatonpowersource.com/products/details/920062","920062")</f>
        <v>920062</v>
      </c>
      <c r="B10929" s="8" t="s">
        <v>10568</v>
      </c>
    </row>
    <row r="10930" spans="1:2" x14ac:dyDescent="0.3">
      <c r="A10930" s="5" t="str">
        <f>HYPERLINK("http://www.eatonpowersource.com/products/details/920068","920068")</f>
        <v>920068</v>
      </c>
      <c r="B10930" s="6" t="s">
        <v>10569</v>
      </c>
    </row>
    <row r="10931" spans="1:2" x14ac:dyDescent="0.3">
      <c r="A10931" s="7" t="str">
        <f>HYPERLINK("http://www.eatonpowersource.com/products/details/920069","920069")</f>
        <v>920069</v>
      </c>
      <c r="B10931" s="8" t="s">
        <v>10569</v>
      </c>
    </row>
    <row r="10932" spans="1:2" x14ac:dyDescent="0.3">
      <c r="A10932" s="5" t="str">
        <f>HYPERLINK("http://www.eatonpowersource.com/products/details/920072","920072")</f>
        <v>920072</v>
      </c>
      <c r="B10932" s="6" t="s">
        <v>10570</v>
      </c>
    </row>
    <row r="10933" spans="1:2" x14ac:dyDescent="0.3">
      <c r="A10933" s="7" t="str">
        <f>HYPERLINK("http://www.eatonpowersource.com/products/details/920073","920073")</f>
        <v>920073</v>
      </c>
      <c r="B10933" s="8" t="s">
        <v>10571</v>
      </c>
    </row>
    <row r="10934" spans="1:2" x14ac:dyDescent="0.3">
      <c r="A10934" s="5" t="str">
        <f>HYPERLINK("http://www.eatonpowersource.com/products/details/920075","920075")</f>
        <v>920075</v>
      </c>
      <c r="B10934" s="6" t="s">
        <v>10572</v>
      </c>
    </row>
    <row r="10935" spans="1:2" x14ac:dyDescent="0.3">
      <c r="A10935" s="7" t="str">
        <f>HYPERLINK("http://www.eatonpowersource.com/products/details/920085","920085")</f>
        <v>920085</v>
      </c>
      <c r="B10935" s="8" t="s">
        <v>10573</v>
      </c>
    </row>
    <row r="10936" spans="1:2" x14ac:dyDescent="0.3">
      <c r="A10936" s="5" t="str">
        <f>HYPERLINK("http://www.eatonpowersource.com/products/details/920103","920103")</f>
        <v>920103</v>
      </c>
      <c r="B10936" s="6" t="s">
        <v>10574</v>
      </c>
    </row>
    <row r="10937" spans="1:2" x14ac:dyDescent="0.3">
      <c r="A10937" s="7" t="str">
        <f>HYPERLINK("http://www.eatonpowersource.com/products/details/920108","920108")</f>
        <v>920108</v>
      </c>
      <c r="B10937" s="8" t="s">
        <v>2797</v>
      </c>
    </row>
    <row r="10938" spans="1:2" x14ac:dyDescent="0.3">
      <c r="A10938" s="5" t="str">
        <f>HYPERLINK("http://www.eatonpowersource.com/products/details/920155","920155")</f>
        <v>920155</v>
      </c>
      <c r="B10938" s="6" t="s">
        <v>10575</v>
      </c>
    </row>
    <row r="10939" spans="1:2" x14ac:dyDescent="0.3">
      <c r="A10939" s="7" t="str">
        <f>HYPERLINK("http://www.eatonpowersource.com/products/details/920173","920173")</f>
        <v>920173</v>
      </c>
      <c r="B10939" s="8" t="s">
        <v>2797</v>
      </c>
    </row>
    <row r="10940" spans="1:2" x14ac:dyDescent="0.3">
      <c r="A10940" s="5" t="str">
        <f>HYPERLINK("http://www.eatonpowersource.com/products/details/920180","920180")</f>
        <v>920180</v>
      </c>
      <c r="B10940" s="6" t="s">
        <v>10576</v>
      </c>
    </row>
    <row r="10941" spans="1:2" x14ac:dyDescent="0.3">
      <c r="A10941" s="7" t="str">
        <f>HYPERLINK("http://www.eatonpowersource.com/products/details/920189","920189")</f>
        <v>920189</v>
      </c>
      <c r="B10941" s="8" t="s">
        <v>10577</v>
      </c>
    </row>
    <row r="10942" spans="1:2" x14ac:dyDescent="0.3">
      <c r="A10942" s="5" t="str">
        <f>HYPERLINK("http://www.eatonpowersource.com/products/details/920195","920195")</f>
        <v>920195</v>
      </c>
      <c r="B10942" s="6" t="s">
        <v>10578</v>
      </c>
    </row>
    <row r="10943" spans="1:2" x14ac:dyDescent="0.3">
      <c r="A10943" s="7" t="str">
        <f>HYPERLINK("http://www.eatonpowersource.com/products/details/920197","920197")</f>
        <v>920197</v>
      </c>
      <c r="B10943" s="8" t="s">
        <v>2797</v>
      </c>
    </row>
    <row r="10944" spans="1:2" x14ac:dyDescent="0.3">
      <c r="A10944" s="5" t="str">
        <f>HYPERLINK("http://www.eatonpowersource.com/products/details/920199","920199")</f>
        <v>920199</v>
      </c>
      <c r="B10944" s="6" t="s">
        <v>10579</v>
      </c>
    </row>
    <row r="10945" spans="1:2" x14ac:dyDescent="0.3">
      <c r="A10945" s="7" t="str">
        <f>HYPERLINK("http://www.eatonpowersource.com/products/details/920205","920205")</f>
        <v>920205</v>
      </c>
      <c r="B10945" s="8" t="s">
        <v>10580</v>
      </c>
    </row>
    <row r="10946" spans="1:2" x14ac:dyDescent="0.3">
      <c r="A10946" s="5" t="str">
        <f>HYPERLINK("http://www.eatonpowersource.com/products/details/920212","920212")</f>
        <v>920212</v>
      </c>
      <c r="B10946" s="6" t="s">
        <v>2797</v>
      </c>
    </row>
    <row r="10947" spans="1:2" x14ac:dyDescent="0.3">
      <c r="A10947" s="7" t="str">
        <f>HYPERLINK("http://www.eatonpowersource.com/products/details/920213","920213")</f>
        <v>920213</v>
      </c>
      <c r="B10947" s="8" t="s">
        <v>10581</v>
      </c>
    </row>
    <row r="10948" spans="1:2" x14ac:dyDescent="0.3">
      <c r="A10948" s="5" t="str">
        <f>HYPERLINK("http://www.eatonpowersource.com/products/details/920215","920215")</f>
        <v>920215</v>
      </c>
      <c r="B10948" s="6" t="s">
        <v>10582</v>
      </c>
    </row>
    <row r="10949" spans="1:2" x14ac:dyDescent="0.3">
      <c r="A10949" s="7" t="str">
        <f>HYPERLINK("http://www.eatonpowersource.com/products/details/920227","920227")</f>
        <v>920227</v>
      </c>
      <c r="B10949" s="8" t="s">
        <v>10583</v>
      </c>
    </row>
    <row r="10950" spans="1:2" x14ac:dyDescent="0.3">
      <c r="A10950" s="5" t="str">
        <f>HYPERLINK("http://www.eatonpowersource.com/products/details/920239","920239")</f>
        <v>920239</v>
      </c>
      <c r="B10950" s="6" t="s">
        <v>10584</v>
      </c>
    </row>
    <row r="10951" spans="1:2" x14ac:dyDescent="0.3">
      <c r="A10951" s="7" t="str">
        <f>HYPERLINK("http://www.eatonpowersource.com/products/details/920278","920278")</f>
        <v>920278</v>
      </c>
      <c r="B10951" s="8" t="s">
        <v>10585</v>
      </c>
    </row>
    <row r="10952" spans="1:2" x14ac:dyDescent="0.3">
      <c r="A10952" s="5" t="str">
        <f>HYPERLINK("http://www.eatonpowersource.com/products/details/920312","920312")</f>
        <v>920312</v>
      </c>
      <c r="B10952" s="6" t="s">
        <v>10586</v>
      </c>
    </row>
    <row r="10953" spans="1:2" x14ac:dyDescent="0.3">
      <c r="A10953" s="7" t="str">
        <f>HYPERLINK("http://www.eatonpowersource.com/products/details/920318","920318")</f>
        <v>920318</v>
      </c>
      <c r="B10953" s="8" t="s">
        <v>10587</v>
      </c>
    </row>
    <row r="10954" spans="1:2" x14ac:dyDescent="0.3">
      <c r="A10954" s="5" t="str">
        <f>HYPERLINK("http://www.eatonpowersource.com/products/details/920320","920320")</f>
        <v>920320</v>
      </c>
      <c r="B10954" s="6" t="s">
        <v>10588</v>
      </c>
    </row>
    <row r="10955" spans="1:2" x14ac:dyDescent="0.3">
      <c r="A10955" s="7" t="str">
        <f>HYPERLINK("http://www.eatonpowersource.com/products/details/920365","920365")</f>
        <v>920365</v>
      </c>
      <c r="B10955" s="8" t="s">
        <v>2797</v>
      </c>
    </row>
    <row r="10956" spans="1:2" x14ac:dyDescent="0.3">
      <c r="A10956" s="5" t="str">
        <f>HYPERLINK("http://www.eatonpowersource.com/products/details/922732","922732")</f>
        <v>922732</v>
      </c>
      <c r="B10956" s="6" t="s">
        <v>10589</v>
      </c>
    </row>
    <row r="10957" spans="1:2" x14ac:dyDescent="0.3">
      <c r="A10957" s="7" t="str">
        <f>HYPERLINK("http://www.eatonpowersource.com/products/details/922733","922733")</f>
        <v>922733</v>
      </c>
      <c r="B10957" s="8" t="s">
        <v>2797</v>
      </c>
    </row>
    <row r="10958" spans="1:2" x14ac:dyDescent="0.3">
      <c r="A10958" s="5" t="str">
        <f>HYPERLINK("http://www.eatonpowersource.com/products/details/922793","922793")</f>
        <v>922793</v>
      </c>
      <c r="B10958" s="6" t="s">
        <v>10590</v>
      </c>
    </row>
    <row r="10959" spans="1:2" x14ac:dyDescent="0.3">
      <c r="A10959" s="7" t="str">
        <f>HYPERLINK("http://www.eatonpowersource.com/products/details/922832","922832")</f>
        <v>922832</v>
      </c>
      <c r="B10959" s="8" t="s">
        <v>10591</v>
      </c>
    </row>
    <row r="10960" spans="1:2" x14ac:dyDescent="0.3">
      <c r="A10960" s="5" t="str">
        <f>HYPERLINK("http://www.eatonpowersource.com/products/details/922850","922850")</f>
        <v>922850</v>
      </c>
      <c r="B10960" s="6" t="s">
        <v>10592</v>
      </c>
    </row>
    <row r="10961" spans="1:2" x14ac:dyDescent="0.3">
      <c r="A10961" s="7" t="str">
        <f>HYPERLINK("http://www.eatonpowersource.com/products/details/922851","922851")</f>
        <v>922851</v>
      </c>
      <c r="B10961" s="8" t="s">
        <v>10593</v>
      </c>
    </row>
    <row r="10962" spans="1:2" x14ac:dyDescent="0.3">
      <c r="A10962" s="5" t="str">
        <f>HYPERLINK("http://www.eatonpowersource.com/products/details/922853","922853")</f>
        <v>922853</v>
      </c>
      <c r="B10962" s="6" t="s">
        <v>10594</v>
      </c>
    </row>
    <row r="10963" spans="1:2" x14ac:dyDescent="0.3">
      <c r="A10963" s="7" t="str">
        <f>HYPERLINK("http://www.eatonpowersource.com/products/details/922856","922856")</f>
        <v>922856</v>
      </c>
      <c r="B10963" s="8" t="s">
        <v>10595</v>
      </c>
    </row>
    <row r="10964" spans="1:2" x14ac:dyDescent="0.3">
      <c r="A10964" s="5" t="str">
        <f>HYPERLINK("http://www.eatonpowersource.com/products/details/922859","922859")</f>
        <v>922859</v>
      </c>
      <c r="B10964" s="6" t="s">
        <v>10596</v>
      </c>
    </row>
    <row r="10965" spans="1:2" x14ac:dyDescent="0.3">
      <c r="A10965" s="7" t="str">
        <f>HYPERLINK("http://www.eatonpowersource.com/products/details/922862","922862")</f>
        <v>922862</v>
      </c>
      <c r="B10965" s="8" t="s">
        <v>10597</v>
      </c>
    </row>
    <row r="10966" spans="1:2" x14ac:dyDescent="0.3">
      <c r="A10966" s="5" t="str">
        <f>HYPERLINK("http://www.eatonpowersource.com/products/details/922863","922863")</f>
        <v>922863</v>
      </c>
      <c r="B10966" s="6" t="s">
        <v>10598</v>
      </c>
    </row>
    <row r="10967" spans="1:2" x14ac:dyDescent="0.3">
      <c r="A10967" s="7" t="str">
        <f>HYPERLINK("http://www.eatonpowersource.com/products/details/922865","922865")</f>
        <v>922865</v>
      </c>
      <c r="B10967" s="8" t="s">
        <v>10599</v>
      </c>
    </row>
    <row r="10968" spans="1:2" x14ac:dyDescent="0.3">
      <c r="A10968" s="5" t="str">
        <f>HYPERLINK("http://www.eatonpowersource.com/products/details/922866","922866")</f>
        <v>922866</v>
      </c>
      <c r="B10968" s="6" t="s">
        <v>10600</v>
      </c>
    </row>
    <row r="10969" spans="1:2" x14ac:dyDescent="0.3">
      <c r="A10969" s="7" t="str">
        <f>HYPERLINK("http://www.eatonpowersource.com/products/details/922904","922904")</f>
        <v>922904</v>
      </c>
      <c r="B10969" s="8" t="s">
        <v>10601</v>
      </c>
    </row>
    <row r="10970" spans="1:2" x14ac:dyDescent="0.3">
      <c r="A10970" s="5" t="str">
        <f>HYPERLINK("http://www.eatonpowersource.com/products/details/922907","922907")</f>
        <v>922907</v>
      </c>
      <c r="B10970" s="6" t="s">
        <v>10602</v>
      </c>
    </row>
    <row r="10971" spans="1:2" x14ac:dyDescent="0.3">
      <c r="A10971" s="7" t="str">
        <f>HYPERLINK("http://www.eatonpowersource.com/products/details/922926","922926")</f>
        <v>922926</v>
      </c>
      <c r="B10971" s="8" t="s">
        <v>10532</v>
      </c>
    </row>
    <row r="10972" spans="1:2" x14ac:dyDescent="0.3">
      <c r="A10972" s="5" t="str">
        <f>HYPERLINK("http://www.eatonpowersource.com/products/details/923006","923006")</f>
        <v>923006</v>
      </c>
      <c r="B10972" s="6" t="s">
        <v>10603</v>
      </c>
    </row>
    <row r="10973" spans="1:2" x14ac:dyDescent="0.3">
      <c r="A10973" s="7" t="str">
        <f>HYPERLINK("http://www.eatonpowersource.com/products/details/923096","923096")</f>
        <v>923096</v>
      </c>
      <c r="B10973" s="8" t="s">
        <v>10604</v>
      </c>
    </row>
    <row r="10974" spans="1:2" x14ac:dyDescent="0.3">
      <c r="A10974" s="5" t="str">
        <f>HYPERLINK("http://www.eatonpowersource.com/products/details/923106","923106")</f>
        <v>923106</v>
      </c>
      <c r="B10974" s="6" t="s">
        <v>10605</v>
      </c>
    </row>
    <row r="10975" spans="1:2" x14ac:dyDescent="0.3">
      <c r="A10975" s="7" t="str">
        <f>HYPERLINK("http://www.eatonpowersource.com/products/details/923157","923157")</f>
        <v>923157</v>
      </c>
      <c r="B10975" s="8" t="s">
        <v>10606</v>
      </c>
    </row>
    <row r="10976" spans="1:2" x14ac:dyDescent="0.3">
      <c r="A10976" s="5" t="str">
        <f>HYPERLINK("http://www.eatonpowersource.com/products/details/923163","923163")</f>
        <v>923163</v>
      </c>
      <c r="B10976" s="6" t="s">
        <v>10607</v>
      </c>
    </row>
    <row r="10977" spans="1:2" x14ac:dyDescent="0.3">
      <c r="A10977" s="7" t="str">
        <f>HYPERLINK("http://www.eatonpowersource.com/products/details/923174","923174")</f>
        <v>923174</v>
      </c>
      <c r="B10977" s="8" t="s">
        <v>10608</v>
      </c>
    </row>
    <row r="10978" spans="1:2" x14ac:dyDescent="0.3">
      <c r="A10978" s="5" t="str">
        <f>HYPERLINK("http://www.eatonpowersource.com/products/details/923420","923420")</f>
        <v>923420</v>
      </c>
      <c r="B10978" s="6" t="s">
        <v>2797</v>
      </c>
    </row>
    <row r="10979" spans="1:2" x14ac:dyDescent="0.3">
      <c r="A10979" s="7" t="str">
        <f>HYPERLINK("http://www.eatonpowersource.com/products/details/923548","923548")</f>
        <v>923548</v>
      </c>
      <c r="B10979" s="8" t="s">
        <v>10609</v>
      </c>
    </row>
    <row r="10980" spans="1:2" x14ac:dyDescent="0.3">
      <c r="A10980" s="5" t="str">
        <f>HYPERLINK("http://www.eatonpowersource.com/products/details/923577","923577")</f>
        <v>923577</v>
      </c>
      <c r="B10980" s="6" t="s">
        <v>10610</v>
      </c>
    </row>
    <row r="10981" spans="1:2" x14ac:dyDescent="0.3">
      <c r="A10981" s="7" t="str">
        <f>HYPERLINK("http://www.eatonpowersource.com/products/details/923769","923769")</f>
        <v>923769</v>
      </c>
      <c r="B10981" s="8" t="s">
        <v>10611</v>
      </c>
    </row>
    <row r="10982" spans="1:2" x14ac:dyDescent="0.3">
      <c r="A10982" s="5" t="str">
        <f>HYPERLINK("http://www.eatonpowersource.com/products/details/923840","923840")</f>
        <v>923840</v>
      </c>
      <c r="B10982" s="6" t="s">
        <v>10612</v>
      </c>
    </row>
    <row r="10983" spans="1:2" x14ac:dyDescent="0.3">
      <c r="A10983" s="7" t="str">
        <f>HYPERLINK("http://www.eatonpowersource.com/products/details/923847","923847")</f>
        <v>923847</v>
      </c>
      <c r="B10983" s="8" t="s">
        <v>10613</v>
      </c>
    </row>
    <row r="10984" spans="1:2" x14ac:dyDescent="0.3">
      <c r="A10984" s="5" t="str">
        <f>HYPERLINK("http://www.eatonpowersource.com/products/details/923919","923919")</f>
        <v>923919</v>
      </c>
      <c r="B10984" s="6" t="s">
        <v>10614</v>
      </c>
    </row>
    <row r="10985" spans="1:2" x14ac:dyDescent="0.3">
      <c r="A10985" s="7" t="str">
        <f>HYPERLINK("http://www.eatonpowersource.com/products/details/923937","923937")</f>
        <v>923937</v>
      </c>
      <c r="B10985" s="8" t="s">
        <v>10615</v>
      </c>
    </row>
    <row r="10986" spans="1:2" x14ac:dyDescent="0.3">
      <c r="A10986" s="5" t="str">
        <f>HYPERLINK("http://www.eatonpowersource.com/products/details/923979","923979")</f>
        <v>923979</v>
      </c>
      <c r="B10986" s="6" t="s">
        <v>10616</v>
      </c>
    </row>
    <row r="10987" spans="1:2" x14ac:dyDescent="0.3">
      <c r="A10987" s="7" t="str">
        <f>HYPERLINK("http://www.eatonpowersource.com/products/details/923987","923987")</f>
        <v>923987</v>
      </c>
      <c r="B10987" s="8" t="s">
        <v>10467</v>
      </c>
    </row>
    <row r="10988" spans="1:2" x14ac:dyDescent="0.3">
      <c r="A10988" s="5" t="str">
        <f>HYPERLINK("http://www.eatonpowersource.com/products/details/923988","923988")</f>
        <v>923988</v>
      </c>
      <c r="B10988" s="6" t="s">
        <v>10041</v>
      </c>
    </row>
    <row r="10989" spans="1:2" x14ac:dyDescent="0.3">
      <c r="A10989" s="7" t="str">
        <f>HYPERLINK("http://www.eatonpowersource.com/products/details/923989","923989")</f>
        <v>923989</v>
      </c>
      <c r="B10989" s="8" t="s">
        <v>10617</v>
      </c>
    </row>
    <row r="10990" spans="1:2" x14ac:dyDescent="0.3">
      <c r="A10990" s="5" t="str">
        <f>HYPERLINK("http://www.eatonpowersource.com/products/details/924082","924082")</f>
        <v>924082</v>
      </c>
      <c r="B10990" s="6" t="s">
        <v>10618</v>
      </c>
    </row>
    <row r="10991" spans="1:2" x14ac:dyDescent="0.3">
      <c r="A10991" s="7" t="str">
        <f>HYPERLINK("http://www.eatonpowersource.com/products/details/926258","926258")</f>
        <v>926258</v>
      </c>
      <c r="B10991" s="8" t="s">
        <v>10619</v>
      </c>
    </row>
    <row r="10992" spans="1:2" x14ac:dyDescent="0.3">
      <c r="A10992" s="5" t="str">
        <f>HYPERLINK("http://www.eatonpowersource.com/products/details/926468","926468")</f>
        <v>926468</v>
      </c>
      <c r="B10992" s="6" t="s">
        <v>10620</v>
      </c>
    </row>
    <row r="10993" spans="1:2" x14ac:dyDescent="0.3">
      <c r="A10993" s="7" t="str">
        <f>HYPERLINK("http://www.eatonpowersource.com/products/details/928399","928399")</f>
        <v>928399</v>
      </c>
      <c r="B10993" s="8" t="s">
        <v>10621</v>
      </c>
    </row>
    <row r="10994" spans="1:2" x14ac:dyDescent="0.3">
      <c r="A10994" s="5" t="str">
        <f>HYPERLINK("http://www.eatonpowersource.com/products/details/928457","928457")</f>
        <v>928457</v>
      </c>
      <c r="B10994" s="6" t="s">
        <v>10622</v>
      </c>
    </row>
    <row r="10995" spans="1:2" x14ac:dyDescent="0.3">
      <c r="A10995" s="7" t="str">
        <f>HYPERLINK("http://www.eatonpowersource.com/products/details/928541","928541")</f>
        <v>928541</v>
      </c>
      <c r="B10995" s="8" t="s">
        <v>7090</v>
      </c>
    </row>
    <row r="10996" spans="1:2" x14ac:dyDescent="0.3">
      <c r="A10996" s="5" t="str">
        <f>HYPERLINK("http://www.eatonpowersource.com/products/details/928774","928774")</f>
        <v>928774</v>
      </c>
      <c r="B10996" s="6" t="s">
        <v>10623</v>
      </c>
    </row>
    <row r="10997" spans="1:2" x14ac:dyDescent="0.3">
      <c r="A10997" s="7" t="str">
        <f>HYPERLINK("http://www.eatonpowersource.com/products/details/930627","930627")</f>
        <v>930627</v>
      </c>
      <c r="B10997" s="8" t="s">
        <v>10624</v>
      </c>
    </row>
    <row r="10998" spans="1:2" x14ac:dyDescent="0.3">
      <c r="A10998" s="5" t="str">
        <f>HYPERLINK("http://www.eatonpowersource.com/products/details/932909","932909")</f>
        <v>932909</v>
      </c>
      <c r="B10998" s="6" t="s">
        <v>10625</v>
      </c>
    </row>
    <row r="10999" spans="1:2" x14ac:dyDescent="0.3">
      <c r="A10999" s="7" t="str">
        <f>HYPERLINK("http://www.eatonpowersource.com/products/details/932919","932919")</f>
        <v>932919</v>
      </c>
      <c r="B10999" s="8" t="s">
        <v>10626</v>
      </c>
    </row>
    <row r="11000" spans="1:2" x14ac:dyDescent="0.3">
      <c r="A11000" s="5" t="str">
        <f>HYPERLINK("http://www.eatonpowersource.com/products/details/932920","932920")</f>
        <v>932920</v>
      </c>
      <c r="B11000" s="6" t="s">
        <v>10627</v>
      </c>
    </row>
    <row r="11001" spans="1:2" x14ac:dyDescent="0.3">
      <c r="A11001" s="7" t="str">
        <f>HYPERLINK("http://www.eatonpowersource.com/products/details/932921","932921")</f>
        <v>932921</v>
      </c>
      <c r="B11001" s="8" t="s">
        <v>10628</v>
      </c>
    </row>
    <row r="11002" spans="1:2" x14ac:dyDescent="0.3">
      <c r="A11002" s="5" t="str">
        <f>HYPERLINK("http://www.eatonpowersource.com/products/details/932922","932922")</f>
        <v>932922</v>
      </c>
      <c r="B11002" s="6" t="s">
        <v>10629</v>
      </c>
    </row>
    <row r="11003" spans="1:2" x14ac:dyDescent="0.3">
      <c r="A11003" s="7" t="str">
        <f>HYPERLINK("http://www.eatonpowersource.com/products/details/932928","932928")</f>
        <v>932928</v>
      </c>
      <c r="B11003" s="8" t="s">
        <v>10630</v>
      </c>
    </row>
    <row r="11004" spans="1:2" x14ac:dyDescent="0.3">
      <c r="A11004" s="5" t="str">
        <f>HYPERLINK("http://www.eatonpowersource.com/products/details/932929","932929")</f>
        <v>932929</v>
      </c>
      <c r="B11004" s="6" t="s">
        <v>10631</v>
      </c>
    </row>
    <row r="11005" spans="1:2" x14ac:dyDescent="0.3">
      <c r="A11005" s="7" t="str">
        <f>HYPERLINK("http://www.eatonpowersource.com/products/details/933002","933002")</f>
        <v>933002</v>
      </c>
      <c r="B11005" s="8" t="s">
        <v>10632</v>
      </c>
    </row>
    <row r="11006" spans="1:2" x14ac:dyDescent="0.3">
      <c r="A11006" s="5" t="str">
        <f>HYPERLINK("http://www.eatonpowersource.com/products/details/933017","933017")</f>
        <v>933017</v>
      </c>
      <c r="B11006" s="6" t="s">
        <v>10632</v>
      </c>
    </row>
    <row r="11007" spans="1:2" x14ac:dyDescent="0.3">
      <c r="A11007" s="7" t="str">
        <f>HYPERLINK("http://www.eatonpowersource.com/products/details/933049","933049")</f>
        <v>933049</v>
      </c>
      <c r="B11007" s="8" t="s">
        <v>10633</v>
      </c>
    </row>
    <row r="11008" spans="1:2" x14ac:dyDescent="0.3">
      <c r="A11008" s="5" t="str">
        <f>HYPERLINK("http://www.eatonpowersource.com/products/details/933076","933076")</f>
        <v>933076</v>
      </c>
      <c r="B11008" s="6" t="s">
        <v>10634</v>
      </c>
    </row>
    <row r="11009" spans="1:2" x14ac:dyDescent="0.3">
      <c r="A11009" s="7" t="str">
        <f>HYPERLINK("http://www.eatonpowersource.com/products/details/933089","933089")</f>
        <v>933089</v>
      </c>
      <c r="B11009" s="8" t="s">
        <v>10635</v>
      </c>
    </row>
    <row r="11010" spans="1:2" x14ac:dyDescent="0.3">
      <c r="A11010" s="5" t="str">
        <f>HYPERLINK("http://www.eatonpowersource.com/products/details/933095","933095")</f>
        <v>933095</v>
      </c>
      <c r="B11010" s="6" t="s">
        <v>10636</v>
      </c>
    </row>
    <row r="11011" spans="1:2" x14ac:dyDescent="0.3">
      <c r="A11011" s="7" t="str">
        <f>HYPERLINK("http://www.eatonpowersource.com/products/details/933096","933096")</f>
        <v>933096</v>
      </c>
      <c r="B11011" s="8" t="s">
        <v>10637</v>
      </c>
    </row>
    <row r="11012" spans="1:2" x14ac:dyDescent="0.3">
      <c r="A11012" s="5" t="str">
        <f>HYPERLINK("http://www.eatonpowersource.com/products/details/934026","934026")</f>
        <v>934026</v>
      </c>
      <c r="B11012" s="6" t="s">
        <v>10638</v>
      </c>
    </row>
    <row r="11013" spans="1:2" x14ac:dyDescent="0.3">
      <c r="A11013" s="7" t="str">
        <f>HYPERLINK("http://www.eatonpowersource.com/products/details/934076","934076")</f>
        <v>934076</v>
      </c>
      <c r="B11013" s="8" t="s">
        <v>10639</v>
      </c>
    </row>
    <row r="11014" spans="1:2" x14ac:dyDescent="0.3">
      <c r="A11014" s="5" t="str">
        <f>HYPERLINK("http://www.eatonpowersource.com/products/details/934189","934189")</f>
        <v>934189</v>
      </c>
      <c r="B11014" s="6" t="s">
        <v>10640</v>
      </c>
    </row>
    <row r="11015" spans="1:2" x14ac:dyDescent="0.3">
      <c r="A11015" s="7" t="str">
        <f>HYPERLINK("http://www.eatonpowersource.com/products/details/934242","934242")</f>
        <v>934242</v>
      </c>
      <c r="B11015" s="8" t="s">
        <v>10641</v>
      </c>
    </row>
    <row r="11016" spans="1:2" x14ac:dyDescent="0.3">
      <c r="A11016" s="5" t="str">
        <f>HYPERLINK("http://www.eatonpowersource.com/products/details/934286","934286")</f>
        <v>934286</v>
      </c>
      <c r="B11016" s="6" t="s">
        <v>10642</v>
      </c>
    </row>
    <row r="11017" spans="1:2" x14ac:dyDescent="0.3">
      <c r="A11017" s="7" t="str">
        <f>HYPERLINK("http://www.eatonpowersource.com/products/details/934340","934340")</f>
        <v>934340</v>
      </c>
      <c r="B11017" s="8" t="s">
        <v>10643</v>
      </c>
    </row>
    <row r="11018" spans="1:2" x14ac:dyDescent="0.3">
      <c r="A11018" s="5" t="str">
        <f>HYPERLINK("http://www.eatonpowersource.com/products/details/934345","934345")</f>
        <v>934345</v>
      </c>
      <c r="B11018" s="6" t="s">
        <v>10644</v>
      </c>
    </row>
    <row r="11019" spans="1:2" x14ac:dyDescent="0.3">
      <c r="A11019" s="7" t="str">
        <f>HYPERLINK("http://www.eatonpowersource.com/products/details/934346","934346")</f>
        <v>934346</v>
      </c>
      <c r="B11019" s="8" t="s">
        <v>10645</v>
      </c>
    </row>
    <row r="11020" spans="1:2" x14ac:dyDescent="0.3">
      <c r="A11020" s="5" t="str">
        <f>HYPERLINK("http://www.eatonpowersource.com/products/details/934348","934348")</f>
        <v>934348</v>
      </c>
      <c r="B11020" s="6" t="s">
        <v>10646</v>
      </c>
    </row>
    <row r="11021" spans="1:2" x14ac:dyDescent="0.3">
      <c r="A11021" s="7" t="str">
        <f>HYPERLINK("http://www.eatonpowersource.com/products/details/934380","934380")</f>
        <v>934380</v>
      </c>
      <c r="B11021" s="8" t="s">
        <v>10647</v>
      </c>
    </row>
    <row r="11022" spans="1:2" x14ac:dyDescent="0.3">
      <c r="A11022" s="5" t="str">
        <f>HYPERLINK("http://www.eatonpowersource.com/products/details/934382","934382")</f>
        <v>934382</v>
      </c>
      <c r="B11022" s="6" t="s">
        <v>10648</v>
      </c>
    </row>
    <row r="11023" spans="1:2" x14ac:dyDescent="0.3">
      <c r="A11023" s="7" t="str">
        <f>HYPERLINK("http://www.eatonpowersource.com/products/details/934392","934392")</f>
        <v>934392</v>
      </c>
      <c r="B11023" s="8" t="s">
        <v>10649</v>
      </c>
    </row>
    <row r="11024" spans="1:2" x14ac:dyDescent="0.3">
      <c r="A11024" s="5" t="str">
        <f>HYPERLINK("http://www.eatonpowersource.com/products/details/934394","934394")</f>
        <v>934394</v>
      </c>
      <c r="B11024" s="6" t="s">
        <v>10650</v>
      </c>
    </row>
    <row r="11025" spans="1:2" x14ac:dyDescent="0.3">
      <c r="A11025" s="7" t="str">
        <f>HYPERLINK("http://www.eatonpowersource.com/products/details/934420","934420")</f>
        <v>934420</v>
      </c>
      <c r="B11025" s="8" t="s">
        <v>10651</v>
      </c>
    </row>
    <row r="11026" spans="1:2" x14ac:dyDescent="0.3">
      <c r="A11026" s="5" t="str">
        <f>HYPERLINK("http://www.eatonpowersource.com/products/details/934463","934463")</f>
        <v>934463</v>
      </c>
      <c r="B11026" s="6" t="s">
        <v>10652</v>
      </c>
    </row>
    <row r="11027" spans="1:2" x14ac:dyDescent="0.3">
      <c r="A11027" s="7" t="str">
        <f>HYPERLINK("http://www.eatonpowersource.com/products/details/934464","934464")</f>
        <v>934464</v>
      </c>
      <c r="B11027" s="8" t="s">
        <v>10653</v>
      </c>
    </row>
    <row r="11028" spans="1:2" x14ac:dyDescent="0.3">
      <c r="A11028" s="5" t="str">
        <f>HYPERLINK("http://www.eatonpowersource.com/products/details/934466","934466")</f>
        <v>934466</v>
      </c>
      <c r="B11028" s="6" t="s">
        <v>10654</v>
      </c>
    </row>
    <row r="11029" spans="1:2" x14ac:dyDescent="0.3">
      <c r="A11029" s="7" t="str">
        <f>HYPERLINK("http://www.eatonpowersource.com/products/details/934493","934493")</f>
        <v>934493</v>
      </c>
      <c r="B11029" s="8" t="s">
        <v>10655</v>
      </c>
    </row>
    <row r="11030" spans="1:2" x14ac:dyDescent="0.3">
      <c r="A11030" s="5" t="str">
        <f>HYPERLINK("http://www.eatonpowersource.com/products/details/934939","934939")</f>
        <v>934939</v>
      </c>
      <c r="B11030" s="6" t="s">
        <v>10656</v>
      </c>
    </row>
    <row r="11031" spans="1:2" x14ac:dyDescent="0.3">
      <c r="A11031" s="7" t="str">
        <f>HYPERLINK("http://www.eatonpowersource.com/products/details/936958","936958")</f>
        <v>936958</v>
      </c>
      <c r="B11031" s="8" t="s">
        <v>9653</v>
      </c>
    </row>
    <row r="11032" spans="1:2" x14ac:dyDescent="0.3">
      <c r="A11032" s="5" t="str">
        <f>HYPERLINK("http://www.eatonpowersource.com/products/details/937017","937017")</f>
        <v>937017</v>
      </c>
      <c r="B11032" s="6" t="s">
        <v>10657</v>
      </c>
    </row>
    <row r="11033" spans="1:2" x14ac:dyDescent="0.3">
      <c r="A11033" s="7" t="str">
        <f>HYPERLINK("http://www.eatonpowersource.com/products/details/937055","937055")</f>
        <v>937055</v>
      </c>
      <c r="B11033" s="8" t="s">
        <v>10658</v>
      </c>
    </row>
    <row r="11034" spans="1:2" x14ac:dyDescent="0.3">
      <c r="A11034" s="5" t="str">
        <f>HYPERLINK("http://www.eatonpowersource.com/products/details/937158","937158")</f>
        <v>937158</v>
      </c>
      <c r="B11034" s="6" t="s">
        <v>10659</v>
      </c>
    </row>
    <row r="11035" spans="1:2" x14ac:dyDescent="0.3">
      <c r="A11035" s="7" t="str">
        <f>HYPERLINK("http://www.eatonpowersource.com/products/details/937169","937169")</f>
        <v>937169</v>
      </c>
      <c r="B11035" s="8" t="s">
        <v>10660</v>
      </c>
    </row>
    <row r="11036" spans="1:2" x14ac:dyDescent="0.3">
      <c r="A11036" s="5" t="str">
        <f>HYPERLINK("http://www.eatonpowersource.com/products/details/937208","937208")</f>
        <v>937208</v>
      </c>
      <c r="B11036" s="6" t="s">
        <v>10661</v>
      </c>
    </row>
    <row r="11037" spans="1:2" x14ac:dyDescent="0.3">
      <c r="A11037" s="7" t="str">
        <f>HYPERLINK("http://www.eatonpowersource.com/products/details/937237","937237")</f>
        <v>937237</v>
      </c>
      <c r="B11037" s="8" t="s">
        <v>10662</v>
      </c>
    </row>
    <row r="11038" spans="1:2" x14ac:dyDescent="0.3">
      <c r="A11038" s="5" t="str">
        <f>HYPERLINK("http://www.eatonpowersource.com/products/details/937238","937238")</f>
        <v>937238</v>
      </c>
      <c r="B11038" s="6" t="s">
        <v>10663</v>
      </c>
    </row>
    <row r="11039" spans="1:2" x14ac:dyDescent="0.3">
      <c r="A11039" s="7" t="str">
        <f>HYPERLINK("http://www.eatonpowersource.com/products/details/937246","937246")</f>
        <v>937246</v>
      </c>
      <c r="B11039" s="8" t="s">
        <v>10664</v>
      </c>
    </row>
    <row r="11040" spans="1:2" x14ac:dyDescent="0.3">
      <c r="A11040" s="5" t="str">
        <f>HYPERLINK("http://www.eatonpowersource.com/products/details/937406","937406")</f>
        <v>937406</v>
      </c>
      <c r="B11040" s="6" t="s">
        <v>10665</v>
      </c>
    </row>
    <row r="11041" spans="1:2" x14ac:dyDescent="0.3">
      <c r="A11041" s="7" t="str">
        <f>HYPERLINK("http://www.eatonpowersource.com/products/details/937445","937445")</f>
        <v>937445</v>
      </c>
      <c r="B11041" s="8" t="s">
        <v>10666</v>
      </c>
    </row>
    <row r="11042" spans="1:2" x14ac:dyDescent="0.3">
      <c r="A11042" s="5" t="str">
        <f>HYPERLINK("http://www.eatonpowersource.com/products/details/937447","937447")</f>
        <v>937447</v>
      </c>
      <c r="B11042" s="6" t="s">
        <v>10666</v>
      </c>
    </row>
    <row r="11043" spans="1:2" x14ac:dyDescent="0.3">
      <c r="A11043" s="7" t="str">
        <f>HYPERLINK("http://www.eatonpowersource.com/products/details/937512","937512")</f>
        <v>937512</v>
      </c>
      <c r="B11043" s="8" t="s">
        <v>10667</v>
      </c>
    </row>
    <row r="11044" spans="1:2" x14ac:dyDescent="0.3">
      <c r="A11044" s="5" t="str">
        <f>HYPERLINK("http://www.eatonpowersource.com/products/details/937571","937571")</f>
        <v>937571</v>
      </c>
      <c r="B11044" s="6" t="s">
        <v>10668</v>
      </c>
    </row>
    <row r="11045" spans="1:2" x14ac:dyDescent="0.3">
      <c r="A11045" s="7" t="str">
        <f>HYPERLINK("http://www.eatonpowersource.com/products/details/937572","937572")</f>
        <v>937572</v>
      </c>
      <c r="B11045" s="8" t="s">
        <v>10669</v>
      </c>
    </row>
    <row r="11046" spans="1:2" x14ac:dyDescent="0.3">
      <c r="A11046" s="5" t="str">
        <f>HYPERLINK("http://www.eatonpowersource.com/products/details/937573","937573")</f>
        <v>937573</v>
      </c>
      <c r="B11046" s="6" t="s">
        <v>10670</v>
      </c>
    </row>
    <row r="11047" spans="1:2" x14ac:dyDescent="0.3">
      <c r="A11047" s="7" t="str">
        <f>HYPERLINK("http://www.eatonpowersource.com/products/details/937574","937574")</f>
        <v>937574</v>
      </c>
      <c r="B11047" s="8" t="s">
        <v>10671</v>
      </c>
    </row>
    <row r="11048" spans="1:2" x14ac:dyDescent="0.3">
      <c r="A11048" s="5" t="str">
        <f>HYPERLINK("http://www.eatonpowersource.com/products/details/937955","937955")</f>
        <v>937955</v>
      </c>
      <c r="B11048" s="6" t="s">
        <v>10672</v>
      </c>
    </row>
    <row r="11049" spans="1:2" x14ac:dyDescent="0.3">
      <c r="A11049" s="7" t="str">
        <f>HYPERLINK("http://www.eatonpowersource.com/products/details/938161","938161")</f>
        <v>938161</v>
      </c>
      <c r="B11049" s="8" t="s">
        <v>10673</v>
      </c>
    </row>
    <row r="11050" spans="1:2" x14ac:dyDescent="0.3">
      <c r="A11050" s="5" t="str">
        <f>HYPERLINK("http://www.eatonpowersource.com/products/details/941052","941052")</f>
        <v>941052</v>
      </c>
      <c r="B11050" s="6" t="s">
        <v>10674</v>
      </c>
    </row>
    <row r="11051" spans="1:2" x14ac:dyDescent="0.3">
      <c r="A11051" s="7" t="str">
        <f>HYPERLINK("http://www.eatonpowersource.com/products/details/941054","941054")</f>
        <v>941054</v>
      </c>
      <c r="B11051" s="8" t="s">
        <v>10675</v>
      </c>
    </row>
    <row r="11052" spans="1:2" x14ac:dyDescent="0.3">
      <c r="A11052" s="5" t="str">
        <f>HYPERLINK("http://www.eatonpowersource.com/products/details/942169","942169")</f>
        <v>942169</v>
      </c>
      <c r="B11052" s="6" t="s">
        <v>10676</v>
      </c>
    </row>
    <row r="11053" spans="1:2" x14ac:dyDescent="0.3">
      <c r="A11053" s="7" t="str">
        <f>HYPERLINK("http://www.eatonpowersource.com/products/details/942327","942327")</f>
        <v>942327</v>
      </c>
      <c r="B11053" s="8" t="s">
        <v>10677</v>
      </c>
    </row>
    <row r="11054" spans="1:2" x14ac:dyDescent="0.3">
      <c r="A11054" s="5" t="str">
        <f>HYPERLINK("http://www.eatonpowersource.com/products/details/942401","942401")</f>
        <v>942401</v>
      </c>
      <c r="B11054" s="6" t="s">
        <v>10618</v>
      </c>
    </row>
    <row r="11055" spans="1:2" x14ac:dyDescent="0.3">
      <c r="A11055" s="7" t="str">
        <f>HYPERLINK("http://www.eatonpowersource.com/products/details/943206","943206")</f>
        <v>943206</v>
      </c>
      <c r="B11055" s="8" t="s">
        <v>10678</v>
      </c>
    </row>
    <row r="11056" spans="1:2" x14ac:dyDescent="0.3">
      <c r="A11056" s="5" t="str">
        <f>HYPERLINK("http://www.eatonpowersource.com/products/details/943226","943226")</f>
        <v>943226</v>
      </c>
      <c r="B11056" s="6" t="s">
        <v>10636</v>
      </c>
    </row>
    <row r="11057" spans="1:2" x14ac:dyDescent="0.3">
      <c r="A11057" s="7" t="str">
        <f>HYPERLINK("http://www.eatonpowersource.com/products/details/943227","943227")</f>
        <v>943227</v>
      </c>
      <c r="B11057" s="8" t="s">
        <v>10679</v>
      </c>
    </row>
    <row r="11058" spans="1:2" x14ac:dyDescent="0.3">
      <c r="A11058" s="5" t="str">
        <f>HYPERLINK("http://www.eatonpowersource.com/products/details/943252","943252")</f>
        <v>943252</v>
      </c>
      <c r="B11058" s="6" t="s">
        <v>10680</v>
      </c>
    </row>
    <row r="11059" spans="1:2" x14ac:dyDescent="0.3">
      <c r="A11059" s="7" t="str">
        <f>HYPERLINK("http://www.eatonpowersource.com/products/details/943305","943305")</f>
        <v>943305</v>
      </c>
      <c r="B11059" s="8" t="s">
        <v>10681</v>
      </c>
    </row>
    <row r="11060" spans="1:2" x14ac:dyDescent="0.3">
      <c r="A11060" s="5" t="str">
        <f>HYPERLINK("http://www.eatonpowersource.com/products/details/943316","943316")</f>
        <v>943316</v>
      </c>
      <c r="B11060" s="6" t="s">
        <v>10682</v>
      </c>
    </row>
    <row r="11061" spans="1:2" x14ac:dyDescent="0.3">
      <c r="A11061" s="7" t="str">
        <f>HYPERLINK("http://www.eatonpowersource.com/products/details/943342","943342")</f>
        <v>943342</v>
      </c>
      <c r="B11061" s="8" t="s">
        <v>10683</v>
      </c>
    </row>
    <row r="11062" spans="1:2" x14ac:dyDescent="0.3">
      <c r="A11062" s="5" t="str">
        <f>HYPERLINK("http://www.eatonpowersource.com/products/details/943365","943365")</f>
        <v>943365</v>
      </c>
      <c r="B11062" s="6" t="s">
        <v>10684</v>
      </c>
    </row>
    <row r="11063" spans="1:2" x14ac:dyDescent="0.3">
      <c r="A11063" s="7" t="str">
        <f>HYPERLINK("http://www.eatonpowersource.com/products/details/944567","944567")</f>
        <v>944567</v>
      </c>
      <c r="B11063" s="8" t="s">
        <v>10685</v>
      </c>
    </row>
    <row r="11064" spans="1:2" x14ac:dyDescent="0.3">
      <c r="A11064" s="5" t="str">
        <f>HYPERLINK("http://www.eatonpowersource.com/products/details/944690","944690")</f>
        <v>944690</v>
      </c>
      <c r="B11064" s="6" t="s">
        <v>10686</v>
      </c>
    </row>
    <row r="11065" spans="1:2" x14ac:dyDescent="0.3">
      <c r="A11065" s="7" t="str">
        <f>HYPERLINK("http://www.eatonpowersource.com/products/details/977466","977466")</f>
        <v>977466</v>
      </c>
      <c r="B11065" s="8" t="s">
        <v>10687</v>
      </c>
    </row>
    <row r="11066" spans="1:2" x14ac:dyDescent="0.3">
      <c r="A11066" s="5" t="str">
        <f>HYPERLINK("http://www.eatonpowersource.com/products/details/977467","977467")</f>
        <v>977467</v>
      </c>
      <c r="B11066" s="6" t="s">
        <v>10687</v>
      </c>
    </row>
    <row r="11067" spans="1:2" x14ac:dyDescent="0.3">
      <c r="A11067" s="7" t="str">
        <f>HYPERLINK("http://www.eatonpowersource.com/products/details/977469","977469")</f>
        <v>977469</v>
      </c>
      <c r="B11067" s="8" t="s">
        <v>10688</v>
      </c>
    </row>
    <row r="11068" spans="1:2" x14ac:dyDescent="0.3">
      <c r="A11068" s="5" t="str">
        <f>HYPERLINK("http://www.eatonpowersource.com/products/details/977470","977470")</f>
        <v>977470</v>
      </c>
      <c r="B11068" s="6" t="s">
        <v>10689</v>
      </c>
    </row>
    <row r="11069" spans="1:2" x14ac:dyDescent="0.3">
      <c r="A11069" s="7" t="str">
        <f>HYPERLINK("http://www.eatonpowersource.com/products/details/977471","977471")</f>
        <v>977471</v>
      </c>
      <c r="B11069" s="8" t="s">
        <v>10689</v>
      </c>
    </row>
    <row r="11070" spans="1:2" x14ac:dyDescent="0.3">
      <c r="A11070" s="5" t="str">
        <f>HYPERLINK("http://www.eatonpowersource.com/products/details/977936","977936")</f>
        <v>977936</v>
      </c>
      <c r="B11070" s="6" t="s">
        <v>10690</v>
      </c>
    </row>
    <row r="11071" spans="1:2" x14ac:dyDescent="0.3">
      <c r="A11071" s="7" t="str">
        <f>HYPERLINK("http://www.eatonpowersource.com/products/details/977937","977937")</f>
        <v>977937</v>
      </c>
      <c r="B11071" s="8" t="s">
        <v>10691</v>
      </c>
    </row>
    <row r="11072" spans="1:2" x14ac:dyDescent="0.3">
      <c r="A11072" s="5" t="str">
        <f>HYPERLINK("http://www.eatonpowersource.com/products/details/977938","977938")</f>
        <v>977938</v>
      </c>
      <c r="B11072" s="6" t="s">
        <v>10692</v>
      </c>
    </row>
    <row r="11073" spans="1:2" x14ac:dyDescent="0.3">
      <c r="A11073" s="7" t="str">
        <f>HYPERLINK("http://www.eatonpowersource.com/products/details/977940","977940")</f>
        <v>977940</v>
      </c>
      <c r="B11073" s="8" t="s">
        <v>10693</v>
      </c>
    </row>
    <row r="11074" spans="1:2" x14ac:dyDescent="0.3">
      <c r="A11074" s="5" t="str">
        <f>HYPERLINK("http://www.eatonpowersource.com/products/details/977941","977941")</f>
        <v>977941</v>
      </c>
      <c r="B11074" s="6" t="s">
        <v>10694</v>
      </c>
    </row>
    <row r="11075" spans="1:2" x14ac:dyDescent="0.3">
      <c r="A11075" s="7" t="str">
        <f>HYPERLINK("http://www.eatonpowersource.com/products/details/977944","977944")</f>
        <v>977944</v>
      </c>
      <c r="B11075" s="8" t="s">
        <v>10160</v>
      </c>
    </row>
    <row r="11076" spans="1:2" x14ac:dyDescent="0.3">
      <c r="A11076" s="5" t="str">
        <f>HYPERLINK("http://www.eatonpowersource.com/products/details/977945","977945")</f>
        <v>977945</v>
      </c>
      <c r="B11076" s="6" t="s">
        <v>10694</v>
      </c>
    </row>
    <row r="11077" spans="1:2" x14ac:dyDescent="0.3">
      <c r="A11077" s="7" t="str">
        <f>HYPERLINK("http://www.eatonpowersource.com/products/details/977946","977946")</f>
        <v>977946</v>
      </c>
      <c r="B11077" s="8" t="s">
        <v>10695</v>
      </c>
    </row>
    <row r="11078" spans="1:2" x14ac:dyDescent="0.3">
      <c r="A11078" s="5" t="str">
        <f>HYPERLINK("http://www.eatonpowersource.com/products/details/977947","977947")</f>
        <v>977947</v>
      </c>
      <c r="B11078" s="6" t="s">
        <v>10160</v>
      </c>
    </row>
    <row r="11079" spans="1:2" x14ac:dyDescent="0.3">
      <c r="A11079" s="7" t="str">
        <f>HYPERLINK("http://www.eatonpowersource.com/products/details/977952","977952")</f>
        <v>977952</v>
      </c>
      <c r="B11079" s="8" t="s">
        <v>10160</v>
      </c>
    </row>
    <row r="11080" spans="1:2" x14ac:dyDescent="0.3">
      <c r="A11080" s="5" t="str">
        <f>HYPERLINK("http://www.eatonpowersource.com/products/details/977956","977956")</f>
        <v>977956</v>
      </c>
      <c r="B11080" s="6" t="s">
        <v>10160</v>
      </c>
    </row>
    <row r="11081" spans="1:2" x14ac:dyDescent="0.3">
      <c r="A11081" s="7" t="str">
        <f>HYPERLINK("http://www.eatonpowersource.com/products/details/978459","978459")</f>
        <v>978459</v>
      </c>
      <c r="B11081" s="8" t="s">
        <v>10696</v>
      </c>
    </row>
    <row r="11082" spans="1:2" x14ac:dyDescent="0.3">
      <c r="A11082" s="5" t="str">
        <f>HYPERLINK("http://www.eatonpowersource.com/products/details/978461","978461")</f>
        <v>978461</v>
      </c>
      <c r="B11082" s="6" t="s">
        <v>10697</v>
      </c>
    </row>
    <row r="11083" spans="1:2" x14ac:dyDescent="0.3">
      <c r="A11083" s="7" t="str">
        <f>HYPERLINK("http://www.eatonpowersource.com/products/details/978463","978463")</f>
        <v>978463</v>
      </c>
      <c r="B11083" s="8" t="s">
        <v>10698</v>
      </c>
    </row>
    <row r="11084" spans="1:2" x14ac:dyDescent="0.3">
      <c r="A11084" s="5" t="str">
        <f>HYPERLINK("http://www.eatonpowersource.com/products/details/978464","978464")</f>
        <v>978464</v>
      </c>
      <c r="B11084" s="6" t="s">
        <v>10699</v>
      </c>
    </row>
    <row r="11085" spans="1:2" x14ac:dyDescent="0.3">
      <c r="A11085" s="7" t="str">
        <f>HYPERLINK("http://www.eatonpowersource.com/products/details/978465","978465")</f>
        <v>978465</v>
      </c>
      <c r="B11085" s="8" t="s">
        <v>10700</v>
      </c>
    </row>
    <row r="11086" spans="1:2" x14ac:dyDescent="0.3">
      <c r="A11086" s="5" t="str">
        <f>HYPERLINK("http://www.eatonpowersource.com/products/details/978480","978480")</f>
        <v>978480</v>
      </c>
      <c r="B11086" s="6" t="s">
        <v>10701</v>
      </c>
    </row>
    <row r="11087" spans="1:2" x14ac:dyDescent="0.3">
      <c r="A11087" s="7" t="str">
        <f>HYPERLINK("http://www.eatonpowersource.com/products/details/981322","981322")</f>
        <v>981322</v>
      </c>
      <c r="B11087" s="8" t="s">
        <v>10702</v>
      </c>
    </row>
    <row r="11088" spans="1:2" x14ac:dyDescent="0.3">
      <c r="A11088" s="5" t="str">
        <f>HYPERLINK("http://www.eatonpowersource.com/products/details/985334","985334")</f>
        <v>985334</v>
      </c>
      <c r="B11088" s="6" t="s">
        <v>10703</v>
      </c>
    </row>
    <row r="11089" spans="1:2" x14ac:dyDescent="0.3">
      <c r="A11089" s="7" t="str">
        <f>HYPERLINK("http://www.eatonpowersource.com/products/details/986031","986031")</f>
        <v>986031</v>
      </c>
      <c r="B11089" s="8" t="s">
        <v>10704</v>
      </c>
    </row>
    <row r="11090" spans="1:2" x14ac:dyDescent="0.3">
      <c r="A11090" s="5" t="str">
        <f>HYPERLINK("http://www.eatonpowersource.com/products/details/986032","986032")</f>
        <v>986032</v>
      </c>
      <c r="B11090" s="6" t="s">
        <v>10705</v>
      </c>
    </row>
    <row r="11091" spans="1:2" x14ac:dyDescent="0.3">
      <c r="A11091" s="7" t="str">
        <f>HYPERLINK("http://www.eatonpowersource.com/products/details/986033","986033")</f>
        <v>986033</v>
      </c>
      <c r="B11091" s="8" t="s">
        <v>10706</v>
      </c>
    </row>
    <row r="11092" spans="1:2" x14ac:dyDescent="0.3">
      <c r="A11092" s="5" t="str">
        <f>HYPERLINK("http://www.eatonpowersource.com/products/details/986034","986034")</f>
        <v>986034</v>
      </c>
      <c r="B11092" s="6" t="s">
        <v>10707</v>
      </c>
    </row>
    <row r="11093" spans="1:2" x14ac:dyDescent="0.3">
      <c r="A11093" s="7" t="str">
        <f>HYPERLINK("http://www.eatonpowersource.com/products/details/986036","986036")</f>
        <v>986036</v>
      </c>
      <c r="B11093" s="8" t="s">
        <v>10708</v>
      </c>
    </row>
    <row r="11094" spans="1:2" x14ac:dyDescent="0.3">
      <c r="A11094" s="5" t="str">
        <f>HYPERLINK("http://www.eatonpowersource.com/products/details/986037","986037")</f>
        <v>986037</v>
      </c>
      <c r="B11094" s="6" t="s">
        <v>10709</v>
      </c>
    </row>
    <row r="11095" spans="1:2" x14ac:dyDescent="0.3">
      <c r="A11095" s="7" t="str">
        <f>HYPERLINK("http://www.eatonpowersource.com/products/details/986038","986038")</f>
        <v>986038</v>
      </c>
      <c r="B11095" s="8" t="s">
        <v>10710</v>
      </c>
    </row>
    <row r="11096" spans="1:2" x14ac:dyDescent="0.3">
      <c r="A11096" s="5" t="str">
        <f>HYPERLINK("http://www.eatonpowersource.com/products/details/986044","986044")</f>
        <v>986044</v>
      </c>
      <c r="B11096" s="6" t="s">
        <v>10160</v>
      </c>
    </row>
    <row r="11097" spans="1:2" x14ac:dyDescent="0.3">
      <c r="A11097" s="7" t="str">
        <f>HYPERLINK("http://www.eatonpowersource.com/products/details/986045","986045")</f>
        <v>986045</v>
      </c>
      <c r="B11097" s="8" t="s">
        <v>10160</v>
      </c>
    </row>
    <row r="11098" spans="1:2" x14ac:dyDescent="0.3">
      <c r="A11098" s="5" t="str">
        <f>HYPERLINK("http://www.eatonpowersource.com/products/details/986135","986135")</f>
        <v>986135</v>
      </c>
      <c r="B11098" s="6" t="s">
        <v>10711</v>
      </c>
    </row>
    <row r="11099" spans="1:2" x14ac:dyDescent="0.3">
      <c r="A11099" s="7" t="str">
        <f>HYPERLINK("http://www.eatonpowersource.com/products/details/986419","986419")</f>
        <v>986419</v>
      </c>
      <c r="B11099" s="8" t="s">
        <v>9657</v>
      </c>
    </row>
    <row r="11100" spans="1:2" x14ac:dyDescent="0.3">
      <c r="A11100" s="5" t="str">
        <f>HYPERLINK("http://www.eatonpowersource.com/products/details/986742","986742")</f>
        <v>986742</v>
      </c>
      <c r="B11100" s="6" t="s">
        <v>10712</v>
      </c>
    </row>
    <row r="11101" spans="1:2" x14ac:dyDescent="0.3">
      <c r="A11101" s="7" t="str">
        <f>HYPERLINK("http://www.eatonpowersource.com/products/details/9900088-068","9900088-068")</f>
        <v>9900088-068</v>
      </c>
      <c r="B11101" s="8" t="s">
        <v>10713</v>
      </c>
    </row>
    <row r="11102" spans="1:2" x14ac:dyDescent="0.3">
      <c r="A11102" s="5" t="str">
        <f>HYPERLINK("http://www.eatonpowersource.com/products/details/9900107-000","9900107-000")</f>
        <v>9900107-000</v>
      </c>
      <c r="B11102" s="6" t="s">
        <v>10714</v>
      </c>
    </row>
    <row r="11103" spans="1:2" x14ac:dyDescent="0.3">
      <c r="A11103" s="7" t="str">
        <f>HYPERLINK("http://www.eatonpowersource.com/products/details/9900109-000","9900109-000")</f>
        <v>9900109-000</v>
      </c>
      <c r="B11103" s="8" t="s">
        <v>10715</v>
      </c>
    </row>
    <row r="11104" spans="1:2" x14ac:dyDescent="0.3">
      <c r="A11104" s="5" t="str">
        <f>HYPERLINK("http://www.eatonpowersource.com/products/details/9900110-000","9900110-000")</f>
        <v>9900110-000</v>
      </c>
      <c r="B11104" s="6" t="s">
        <v>10716</v>
      </c>
    </row>
    <row r="11105" spans="1:2" x14ac:dyDescent="0.3">
      <c r="A11105" s="7" t="str">
        <f>HYPERLINK("http://www.eatonpowersource.com/products/details/9900125-016","9900125-016")</f>
        <v>9900125-016</v>
      </c>
      <c r="B11105" s="8" t="s">
        <v>10717</v>
      </c>
    </row>
    <row r="11106" spans="1:2" x14ac:dyDescent="0.3">
      <c r="A11106" s="5" t="str">
        <f>HYPERLINK("http://www.eatonpowersource.com/products/details/9900224-003","9900224-003")</f>
        <v>9900224-003</v>
      </c>
      <c r="B11106" s="6" t="s">
        <v>10718</v>
      </c>
    </row>
    <row r="11107" spans="1:2" x14ac:dyDescent="0.3">
      <c r="A11107" s="7" t="str">
        <f>HYPERLINK("http://www.eatonpowersource.com/products/details/9900357-001","9900357-001")</f>
        <v>9900357-001</v>
      </c>
      <c r="B11107" s="8" t="s">
        <v>10719</v>
      </c>
    </row>
    <row r="11108" spans="1:2" x14ac:dyDescent="0.3">
      <c r="A11108" s="5" t="str">
        <f>HYPERLINK("http://www.eatonpowersource.com/products/details/9900357-003","9900357-003")</f>
        <v>9900357-003</v>
      </c>
      <c r="B11108" s="6" t="s">
        <v>10720</v>
      </c>
    </row>
    <row r="11109" spans="1:2" x14ac:dyDescent="0.3">
      <c r="A11109" s="7" t="str">
        <f>HYPERLINK("http://www.eatonpowersource.com/products/details/9900357-004","9900357-004")</f>
        <v>9900357-004</v>
      </c>
      <c r="B11109" s="8" t="s">
        <v>10721</v>
      </c>
    </row>
    <row r="11110" spans="1:2" x14ac:dyDescent="0.3">
      <c r="A11110" s="5" t="str">
        <f>HYPERLINK("http://www.eatonpowersource.com/products/details/9900357-007","9900357-007")</f>
        <v>9900357-007</v>
      </c>
      <c r="B11110" s="6" t="s">
        <v>10722</v>
      </c>
    </row>
    <row r="11111" spans="1:2" x14ac:dyDescent="0.3">
      <c r="A11111" s="7" t="str">
        <f>HYPERLINK("http://www.eatonpowersource.com/products/details/9901228-000","9901228-000")</f>
        <v>9901228-000</v>
      </c>
      <c r="B11111" s="8" t="s">
        <v>10723</v>
      </c>
    </row>
    <row r="11112" spans="1:2" x14ac:dyDescent="0.3">
      <c r="A11112" s="5" t="str">
        <f>HYPERLINK("http://www.eatonpowersource.com/products/details/990388-000","990388-000")</f>
        <v>990388-000</v>
      </c>
      <c r="B11112" s="6" t="s">
        <v>10724</v>
      </c>
    </row>
    <row r="11113" spans="1:2" x14ac:dyDescent="0.3">
      <c r="A11113" s="7" t="str">
        <f>HYPERLINK("http://www.eatonpowersource.com/products/details/992183","992183")</f>
        <v>992183</v>
      </c>
      <c r="B11113" s="8" t="s">
        <v>10725</v>
      </c>
    </row>
    <row r="11114" spans="1:2" x14ac:dyDescent="0.3">
      <c r="A11114" s="5" t="str">
        <f>HYPERLINK("http://www.eatonpowersource.com/products/details/992612","992612")</f>
        <v>992612</v>
      </c>
      <c r="B11114" s="6" t="s">
        <v>10726</v>
      </c>
    </row>
    <row r="11115" spans="1:2" x14ac:dyDescent="0.3">
      <c r="A11115" s="7" t="str">
        <f>HYPERLINK("http://www.eatonpowersource.com/products/details/992747","992747")</f>
        <v>992747</v>
      </c>
      <c r="B11115" s="8" t="s">
        <v>10727</v>
      </c>
    </row>
    <row r="11116" spans="1:2" x14ac:dyDescent="0.3">
      <c r="A11116" s="5" t="str">
        <f>HYPERLINK("http://www.eatonpowersource.com/products/details/997089","997089")</f>
        <v>997089</v>
      </c>
      <c r="B11116" s="6" t="s">
        <v>10728</v>
      </c>
    </row>
    <row r="11117" spans="1:2" x14ac:dyDescent="0.3">
      <c r="A11117" s="7" t="str">
        <f>HYPERLINK("http://www.eatonpowersource.com/products/details/997949","997949")</f>
        <v>997949</v>
      </c>
      <c r="B11117" s="8" t="s">
        <v>10694</v>
      </c>
    </row>
    <row r="11118" spans="1:2" x14ac:dyDescent="0.3">
      <c r="A11118" s="5" t="str">
        <f>HYPERLINK("http://www.eatonpowersource.com/products/details/998229","998229")</f>
        <v>998229</v>
      </c>
      <c r="B11118" s="6" t="s">
        <v>10729</v>
      </c>
    </row>
    <row r="11119" spans="1:2" x14ac:dyDescent="0.3">
      <c r="A11119" s="7" t="str">
        <f>HYPERLINK("http://www.eatonpowersource.com/products/details/998530","998530")</f>
        <v>998530</v>
      </c>
      <c r="B11119" s="8" t="s">
        <v>10730</v>
      </c>
    </row>
    <row r="11120" spans="1:2" x14ac:dyDescent="0.3">
      <c r="A11120" s="5" t="str">
        <f>HYPERLINK("http://www.eatonpowersource.com/products/details/998643","998643")</f>
        <v>998643</v>
      </c>
      <c r="B11120" s="6" t="s">
        <v>10731</v>
      </c>
    </row>
    <row r="11121" spans="1:2" x14ac:dyDescent="0.3">
      <c r="A11121" s="7" t="str">
        <f>HYPERLINK("http://www.eatonpowersource.com/products/details/998724","998724")</f>
        <v>998724</v>
      </c>
      <c r="B11121" s="8" t="s">
        <v>10732</v>
      </c>
    </row>
    <row r="11122" spans="1:2" x14ac:dyDescent="0.3">
      <c r="A11122" s="5" t="str">
        <f>HYPERLINK("http://www.eatonpowersource.com/products/details/999459","999459")</f>
        <v>999459</v>
      </c>
      <c r="B11122" s="6" t="s">
        <v>10733</v>
      </c>
    </row>
    <row r="11123" spans="1:2" x14ac:dyDescent="0.3">
      <c r="A11123" s="7" t="str">
        <f>HYPERLINK("http://www.eatonpowersource.com/products/details/999533","999533")</f>
        <v>999533</v>
      </c>
      <c r="B11123" s="8" t="s">
        <v>10734</v>
      </c>
    </row>
    <row r="11124" spans="1:2" x14ac:dyDescent="0.3">
      <c r="A11124" s="5" t="str">
        <f>HYPERLINK("http://www.eatonpowersource.com/products/details/999863","999863")</f>
        <v>999863</v>
      </c>
      <c r="B11124" s="6" t="s">
        <v>10735</v>
      </c>
    </row>
    <row r="11125" spans="1:2" x14ac:dyDescent="0.3">
      <c r="A11125" s="7" t="str">
        <f>HYPERLINK("http://www.eatonpowersource.com/products/details/999919","999919")</f>
        <v>999919</v>
      </c>
      <c r="B11125" s="8" t="s">
        <v>10736</v>
      </c>
    </row>
    <row r="11126" spans="1:2" x14ac:dyDescent="0.3">
      <c r="A11126" s="5" t="str">
        <f>HYPERLINK("http://www.eatonpowersource.com/products/details/999962","999962")</f>
        <v>999962</v>
      </c>
      <c r="B11126" s="6" t="s">
        <v>10737</v>
      </c>
    </row>
    <row r="11127" spans="1:2" x14ac:dyDescent="0.3">
      <c r="A11127" s="7" t="str">
        <f>HYPERLINK("http://www.eatonpowersource.com/products/details/as92100150ha","AS92100150HA")</f>
        <v>AS92100150HA</v>
      </c>
      <c r="B11127" s="8" t="s">
        <v>10738</v>
      </c>
    </row>
    <row r="11128" spans="1:2" x14ac:dyDescent="0.3">
      <c r="A11128" s="5" t="str">
        <f>HYPERLINK("http://www.eatonpowersource.com/products/details/as92137200ha","AS92137200HA")</f>
        <v>AS92137200HA</v>
      </c>
      <c r="B11128" s="6" t="s">
        <v>10738</v>
      </c>
    </row>
    <row r="11129" spans="1:2" x14ac:dyDescent="0.3">
      <c r="A11129" s="7" t="str">
        <f>HYPERLINK("http://www.eatonpowersource.com/products/details/c-255-16","C-255-16")</f>
        <v>C-255-16</v>
      </c>
      <c r="B11129" s="8" t="s">
        <v>10739</v>
      </c>
    </row>
    <row r="11130" spans="1:2" x14ac:dyDescent="0.3">
      <c r="A11130" s="5" t="str">
        <f>HYPERLINK("http://www.eatonpowersource.com/products/details/c-5616","C-5616")</f>
        <v>C-5616</v>
      </c>
      <c r="B11130" s="6" t="s">
        <v>10222</v>
      </c>
    </row>
    <row r="11131" spans="1:2" x14ac:dyDescent="0.3">
      <c r="A11131" s="7" t="str">
        <f>HYPERLINK("http://www.eatonpowersource.com/products/details/g-6781-l7969","G-6781-L7969")</f>
        <v>G-6781-L7969</v>
      </c>
      <c r="B11131" s="8" t="s">
        <v>10740</v>
      </c>
    </row>
    <row r="11132" spans="1:2" x14ac:dyDescent="0.3">
      <c r="A11132" s="5" t="str">
        <f>HYPERLINK("http://www.eatonpowersource.com/products/details/sh-1262-l8540","SH-1262-L8540")</f>
        <v>SH-1262-L8540</v>
      </c>
      <c r="B11132" s="6" t="s">
        <v>10741</v>
      </c>
    </row>
    <row r="11133" spans="1:2" x14ac:dyDescent="0.3">
      <c r="A11133" s="7" t="str">
        <f>HYPERLINK("http://www.eatonpowersource.com/products/details/skm1-650-56","SKM1-650-56")</f>
        <v>SKM1-650-56</v>
      </c>
      <c r="B11133" s="8" t="s">
        <v>10320</v>
      </c>
    </row>
    <row r="11134" spans="1:2" x14ac:dyDescent="0.3">
      <c r="A11134" s="5" t="str">
        <f>HYPERLINK("http://www.eatonpowersource.com/products/details/skm2-518-80","SKM2-518-80")</f>
        <v>SKM2-518-80</v>
      </c>
      <c r="B11134" s="6" t="s">
        <v>10324</v>
      </c>
    </row>
    <row r="11135" spans="1:2" x14ac:dyDescent="0.3">
      <c r="A11135" s="7" t="str">
        <f>HYPERLINK("http://www.eatonpowersource.com/products/details/skn2-512-03","SKN2-512-03")</f>
        <v>SKN2-512-03</v>
      </c>
      <c r="B11135" s="8" t="s">
        <v>10324</v>
      </c>
    </row>
    <row r="11136" spans="1:2" x14ac:dyDescent="0.3">
      <c r="A11136" s="5" t="str">
        <f>HYPERLINK("http://www.eatonpowersource.com/products/details/skn2-512-20","SKN2-512-20")</f>
        <v>SKN2-512-20</v>
      </c>
      <c r="B11136" s="6" t="s">
        <v>10324</v>
      </c>
    </row>
    <row r="11137" spans="1:2" x14ac:dyDescent="0.3">
      <c r="A11137" s="7" t="str">
        <f>HYPERLINK("http://www.eatonpowersource.com/products/details/skn25-512-065","SKN25-512-065")</f>
        <v>SKN25-512-065</v>
      </c>
      <c r="B11137" s="8" t="s">
        <v>10324</v>
      </c>
    </row>
    <row r="11138" spans="1:2" x14ac:dyDescent="0.3">
      <c r="A11138" s="5" t="str">
        <f>HYPERLINK("http://www.eatonpowersource.com/products/details/skn25-512-10","SKN25-512-10")</f>
        <v>SKN25-512-10</v>
      </c>
      <c r="B11138" s="6" t="s">
        <v>10324</v>
      </c>
    </row>
    <row r="11139" spans="1:2" x14ac:dyDescent="0.3">
      <c r="A11139" s="7" t="str">
        <f>HYPERLINK("http://www.eatonpowersource.com/products/details/skn25-665-20","SKN25-665-20")</f>
        <v>SKN25-665-20</v>
      </c>
      <c r="B11139" s="8" t="s">
        <v>10320</v>
      </c>
    </row>
    <row r="11140" spans="1:2" x14ac:dyDescent="0.3">
      <c r="A11140" s="5" t="str">
        <f>HYPERLINK("http://www.eatonpowersource.com/products/details/skn25-681-11","SKN25-681-11")</f>
        <v>SKN25-681-11</v>
      </c>
      <c r="B11140" s="6" t="s">
        <v>10320</v>
      </c>
    </row>
    <row r="11141" spans="1:2" x14ac:dyDescent="0.3">
      <c r="A11141" s="7" t="str">
        <f>HYPERLINK("http://www.eatonpowersource.com/products/details/skn25-681-14","SKN25-681-14")</f>
        <v>SKN25-681-14</v>
      </c>
      <c r="B11141" s="8" t="s">
        <v>2797</v>
      </c>
    </row>
    <row r="11142" spans="1:2" x14ac:dyDescent="0.3">
      <c r="A11142" s="5" t="str">
        <f>HYPERLINK("http://www.eatonpowersource.com/products/details/skn25-681-16","SKN25-681-16")</f>
        <v>SKN25-681-16</v>
      </c>
      <c r="B11142" s="6" t="s">
        <v>10320</v>
      </c>
    </row>
    <row r="11143" spans="1:2" x14ac:dyDescent="0.3">
      <c r="A11143" s="7" t="str">
        <f>HYPERLINK("http://www.eatonpowersource.com/products/details/skn5-511-08a","SKN5-511-08A")</f>
        <v>SKN5-511-08A</v>
      </c>
      <c r="B11143" s="8" t="s">
        <v>10742</v>
      </c>
    </row>
    <row r="11144" spans="1:2" x14ac:dyDescent="0.3">
      <c r="A11144" s="5" t="str">
        <f>HYPERLINK("http://www.eatonpowersource.com/products/details/skn5-511-10","SKN5-511-10")</f>
        <v>SKN5-511-10</v>
      </c>
      <c r="B11144" s="6" t="s">
        <v>10324</v>
      </c>
    </row>
    <row r="11145" spans="1:2" x14ac:dyDescent="0.3">
      <c r="A11145" s="7" t="str">
        <f>HYPERLINK("http://www.eatonpowersource.com/products/details/skn5-511-10a","SKN5-511-10A")</f>
        <v>SKN5-511-10A</v>
      </c>
      <c r="B11145" s="8" t="s">
        <v>10324</v>
      </c>
    </row>
    <row r="11146" spans="1:2" x14ac:dyDescent="0.3">
      <c r="A11146" s="5" t="str">
        <f>HYPERLINK("http://www.eatonpowersource.com/products/details/skn5-512-05","SKN5-512-05")</f>
        <v>SKN5-512-05</v>
      </c>
      <c r="B11146" s="6" t="s">
        <v>10324</v>
      </c>
    </row>
    <row r="11147" spans="1:2" x14ac:dyDescent="0.3">
      <c r="A11147" s="7" t="str">
        <f>HYPERLINK("http://www.eatonpowersource.com/products/details/skn5-512-08","SKN5-512-08")</f>
        <v>SKN5-512-08</v>
      </c>
      <c r="B11147" s="8" t="s">
        <v>10324</v>
      </c>
    </row>
    <row r="11148" spans="1:2" x14ac:dyDescent="0.3">
      <c r="A11148" s="5" t="str">
        <f>HYPERLINK("http://www.eatonpowersource.com/products/details/skn5-660-05","SKN5-660-05")</f>
        <v>SKN5-660-05</v>
      </c>
      <c r="B11148" s="6" t="s">
        <v>10320</v>
      </c>
    </row>
    <row r="11149" spans="1:2" x14ac:dyDescent="0.3">
      <c r="A11149" s="7" t="str">
        <f>HYPERLINK("http://www.eatonpowersource.com/products/details/skn5-660-08","SKN5-660-08")</f>
        <v>SKN5-660-08</v>
      </c>
      <c r="B11149" s="8" t="s">
        <v>10320</v>
      </c>
    </row>
    <row r="11150" spans="1:2" x14ac:dyDescent="0.3">
      <c r="A11150" s="5" t="str">
        <f>HYPERLINK("http://www.eatonpowersource.com/products/details/skn5-660-11","SKN5-660-11")</f>
        <v>SKN5-660-11</v>
      </c>
      <c r="B11150" s="6" t="s">
        <v>10320</v>
      </c>
    </row>
    <row r="11151" spans="1:2" x14ac:dyDescent="0.3">
      <c r="A11151" s="7" t="str">
        <f>HYPERLINK("http://www.eatonpowersource.com/products/details/skn5-660-11v","SKN5-660-11V")</f>
        <v>SKN5-660-11V</v>
      </c>
      <c r="B11151" s="8" t="s">
        <v>10320</v>
      </c>
    </row>
    <row r="11152" spans="1:2" x14ac:dyDescent="0.3">
      <c r="A11152" s="5" t="str">
        <f>HYPERLINK("http://www.eatonpowersource.com/products/details/skn5-660-20","SKN5-660-20")</f>
        <v>SKN5-660-20</v>
      </c>
      <c r="B11152" s="6" t="s">
        <v>10320</v>
      </c>
    </row>
    <row r="11153" spans="1:2" x14ac:dyDescent="0.3">
      <c r="A11153" s="7" t="str">
        <f>HYPERLINK("http://www.eatonpowersource.com/products/details/skn5-660-24","SKN5-660-24")</f>
        <v>SKN5-660-24</v>
      </c>
      <c r="B11153" s="8" t="s">
        <v>2797</v>
      </c>
    </row>
    <row r="11154" spans="1:2" x14ac:dyDescent="0.3">
      <c r="A11154" s="5" t="str">
        <f>HYPERLINK("http://www.eatonpowersource.com/products/details/skn5-660-pm-32","SKN5-660-PM-32")</f>
        <v>SKN5-660-PM-32</v>
      </c>
      <c r="B11154" s="6" t="s">
        <v>2797</v>
      </c>
    </row>
    <row r="11155" spans="1:2" x14ac:dyDescent="0.3">
      <c r="A11155" s="7" t="str">
        <f>HYPERLINK("http://www.eatonpowersource.com/products/details/skn5-681-14","SKN5-681-14")</f>
        <v>SKN5-681-14</v>
      </c>
      <c r="B11155" s="8" t="s">
        <v>10320</v>
      </c>
    </row>
    <row r="11156" spans="1:2" x14ac:dyDescent="0.3">
      <c r="A11156" s="5" t="str">
        <f>HYPERLINK("http://www.eatonpowersource.com/products/details/skn5-681-28","SKN5-681-28")</f>
        <v>SKN5-681-28</v>
      </c>
      <c r="B11156" s="6" t="s">
        <v>10320</v>
      </c>
    </row>
    <row r="11157" spans="1:2" x14ac:dyDescent="0.3">
      <c r="A11157" s="7" t="str">
        <f>HYPERLINK("http://www.eatonpowersource.com/products/details/skn5-681-40","SKN5-681-40")</f>
        <v>SKN5-681-40</v>
      </c>
      <c r="B11157" s="8" t="s">
        <v>10743</v>
      </c>
    </row>
    <row r="11158" spans="1:2" x14ac:dyDescent="0.3">
      <c r="A11158" s="5" t="str">
        <f>HYPERLINK("http://www.eatonpowersource.com/products/details/skn5-681-e-28","SKN5-681-E-28")</f>
        <v>SKN5-681-E-28</v>
      </c>
      <c r="B11158" s="6" t="s">
        <v>10320</v>
      </c>
    </row>
    <row r="11159" spans="1:2" x14ac:dyDescent="0.3">
      <c r="A11159" s="7" t="str">
        <f>HYPERLINK("http://www.eatonpowersource.com/products/details/skq5-08n-08","SKQ5-08N-08")</f>
        <v>SKQ5-08N-08</v>
      </c>
      <c r="B11159" s="8" t="s">
        <v>2797</v>
      </c>
    </row>
    <row r="11160" spans="1:2" x14ac:dyDescent="0.3">
      <c r="A11160" s="5" t="str">
        <f>HYPERLINK("http://www.eatonpowersource.com/products/details/skr5-512-05","SKR5-512-05")</f>
        <v>SKR5-512-05</v>
      </c>
      <c r="B11160" s="6" t="s">
        <v>10324</v>
      </c>
    </row>
    <row r="11161" spans="1:2" x14ac:dyDescent="0.3">
      <c r="A11161" s="7" t="str">
        <f>HYPERLINK("http://www.eatonpowersource.com/products/details/skr5-512-065","SKR5-512-065")</f>
        <v>SKR5-512-065</v>
      </c>
      <c r="B11161" s="8" t="s">
        <v>10324</v>
      </c>
    </row>
    <row r="11162" spans="1:2" x14ac:dyDescent="0.3">
      <c r="A11162" s="5" t="str">
        <f>HYPERLINK("http://www.eatonpowersource.com/products/details/skr5-512-12","SKR5-512-12")</f>
        <v>SKR5-512-12</v>
      </c>
      <c r="B11162" s="6" t="s">
        <v>10324</v>
      </c>
    </row>
    <row r="11163" spans="1:2" x14ac:dyDescent="0.3">
      <c r="A11163" s="7" t="str">
        <f>HYPERLINK("http://www.eatonpowersource.com/products/details/skx-b-29427-28","SKX-B-29427-28")</f>
        <v>SKX-B-29427-28</v>
      </c>
      <c r="B11163" s="8" t="s">
        <v>10320</v>
      </c>
    </row>
    <row r="11164" spans="1:2" x14ac:dyDescent="0.3">
      <c r="A11164" s="5" t="str">
        <f>HYPERLINK("http://www.eatonpowersource.com/products/configure/mobile%20valves/details/102ec21300a","102EC21300A")</f>
        <v>102EC21300A</v>
      </c>
      <c r="B11164" s="6" t="s">
        <v>10744</v>
      </c>
    </row>
    <row r="11165" spans="1:2" x14ac:dyDescent="0.3">
      <c r="A11165" s="7" t="str">
        <f>HYPERLINK("http://www.eatonpowersource.com/products/configure/mobile%20valves/details/102ec21400a","102EC21400A")</f>
        <v>102EC21400A</v>
      </c>
      <c r="B11165" s="8" t="s">
        <v>10745</v>
      </c>
    </row>
    <row r="11166" spans="1:2" x14ac:dyDescent="0.3">
      <c r="A11166" s="5" t="str">
        <f>HYPERLINK("http://www.eatonpowersource.com/products/configure/mobile%20valves/details/102ec21500a","102EC21500A")</f>
        <v>102EC21500A</v>
      </c>
      <c r="B11166" s="6" t="s">
        <v>10746</v>
      </c>
    </row>
    <row r="11167" spans="1:2" x14ac:dyDescent="0.3">
      <c r="A11167" s="7" t="str">
        <f>HYPERLINK("http://www.eatonpowersource.com/products/configure/mobile%20valves/details/102ec21700a","102EC21700A")</f>
        <v>102EC21700A</v>
      </c>
      <c r="B11167" s="8" t="s">
        <v>10747</v>
      </c>
    </row>
    <row r="11168" spans="1:2" x14ac:dyDescent="0.3">
      <c r="A11168" s="5" t="str">
        <f>HYPERLINK("http://www.eatonpowersource.com/products/configure/mobile%20valves/details/102ec30400a","102EC30400A")</f>
        <v>102EC30400A</v>
      </c>
      <c r="B11168" s="6" t="s">
        <v>10748</v>
      </c>
    </row>
    <row r="11169" spans="1:2" x14ac:dyDescent="0.3">
      <c r="A11169" s="7" t="str">
        <f>HYPERLINK("http://www.eatonpowersource.com/products/configure/mobile%20valves/details/102ec30401a","102EC30401A")</f>
        <v>102EC30401A</v>
      </c>
      <c r="B11169" s="8" t="s">
        <v>10749</v>
      </c>
    </row>
    <row r="11170" spans="1:2" x14ac:dyDescent="0.3">
      <c r="A11170" s="5" t="str">
        <f>HYPERLINK("http://www.eatonpowersource.com/products/configure/mobile%20valves/details/102ec30701a","102EC30701A")</f>
        <v>102EC30701A</v>
      </c>
      <c r="B11170" s="6" t="s">
        <v>10750</v>
      </c>
    </row>
    <row r="11171" spans="1:2" x14ac:dyDescent="0.3">
      <c r="A11171" s="7" t="str">
        <f>HYPERLINK("http://www.eatonpowersource.com/products/configure/mobile%20valves/details/102ec30702a","102EC30702A")</f>
        <v>102EC30702A</v>
      </c>
      <c r="B11171" s="8" t="s">
        <v>10751</v>
      </c>
    </row>
    <row r="11172" spans="1:2" x14ac:dyDescent="0.3">
      <c r="A11172" s="5" t="str">
        <f>HYPERLINK("http://www.eatonpowersource.com/products/configure/mobile%20valves/details/102ec30703a","102EC30703A")</f>
        <v>102EC30703A</v>
      </c>
      <c r="B11172" s="6" t="s">
        <v>10752</v>
      </c>
    </row>
    <row r="11173" spans="1:2" x14ac:dyDescent="0.3">
      <c r="A11173" s="7" t="str">
        <f>HYPERLINK("http://www.eatonpowersource.com/products/configure/mobile%20valves/details/102ec84005a","102EC84005A")</f>
        <v>102EC84005A</v>
      </c>
      <c r="B11173" s="8" t="s">
        <v>10753</v>
      </c>
    </row>
    <row r="11174" spans="1:2" x14ac:dyDescent="0.3">
      <c r="A11174" s="5" t="str">
        <f>HYPERLINK("http://www.eatonpowersource.com/products/configure/mobile%20valves/details/102ec84006a","102EC84006A")</f>
        <v>102EC84006A</v>
      </c>
      <c r="B11174" s="6" t="s">
        <v>10754</v>
      </c>
    </row>
    <row r="11175" spans="1:2" x14ac:dyDescent="0.3">
      <c r="A11175" s="7" t="str">
        <f>HYPERLINK("http://www.eatonpowersource.com/products/configure/mobile%20valves/details/102ec84007a","102EC84007A")</f>
        <v>102EC84007A</v>
      </c>
      <c r="B11175" s="8" t="s">
        <v>10755</v>
      </c>
    </row>
    <row r="11176" spans="1:2" x14ac:dyDescent="0.3">
      <c r="A11176" s="5" t="str">
        <f>HYPERLINK("http://www.eatonpowersource.com/products/configure/mobile%20valves/details/102ec84009a","102EC84009A")</f>
        <v>102EC84009A</v>
      </c>
      <c r="B11176" s="6" t="s">
        <v>10756</v>
      </c>
    </row>
    <row r="11177" spans="1:2" x14ac:dyDescent="0.3">
      <c r="A11177" s="7" t="str">
        <f>HYPERLINK("http://www.eatonpowersource.com/products/configure/mobile%20valves/details/102ec94101a","102EC94101A")</f>
        <v>102EC94101A</v>
      </c>
      <c r="B11177" s="8" t="s">
        <v>10757</v>
      </c>
    </row>
    <row r="11178" spans="1:2" x14ac:dyDescent="0.3">
      <c r="A11178" s="5" t="str">
        <f>HYPERLINK("http://www.eatonpowersource.com/products/configure/mobile%20valves/details/102ec94500a","102EC94500A")</f>
        <v>102EC94500A</v>
      </c>
      <c r="B11178" s="6" t="s">
        <v>10758</v>
      </c>
    </row>
    <row r="11179" spans="1:2" x14ac:dyDescent="0.3">
      <c r="A11179" s="7" t="str">
        <f>HYPERLINK("http://www.eatonpowersource.com/products/configure/mobile%20valves/details/102ec99103a","102EC99103A")</f>
        <v>102EC99103A</v>
      </c>
      <c r="B11179" s="8" t="s">
        <v>10759</v>
      </c>
    </row>
    <row r="11180" spans="1:2" x14ac:dyDescent="0.3">
      <c r="A11180" s="5" t="str">
        <f>HYPERLINK("http://www.eatonpowersource.com/products/configure/mobile%20valves/details/102ec99106a","102EC99106A")</f>
        <v>102EC99106A</v>
      </c>
      <c r="B11180" s="6" t="s">
        <v>10760</v>
      </c>
    </row>
    <row r="11181" spans="1:2" x14ac:dyDescent="0.3">
      <c r="A11181" s="7" t="str">
        <f>HYPERLINK("http://www.eatonpowersource.com/products/configure/mobile%20valves/details/102ec99109a","102EC99109A")</f>
        <v>102EC99109A</v>
      </c>
      <c r="B11181" s="8" t="s">
        <v>10761</v>
      </c>
    </row>
    <row r="11182" spans="1:2" x14ac:dyDescent="0.3">
      <c r="A11182" s="5" t="str">
        <f>HYPERLINK("http://www.eatonpowersource.com/products/configure/mobile%20valves/details/6035179-001","6035179-001")</f>
        <v>6035179-001</v>
      </c>
      <c r="B11182" s="6" t="s">
        <v>10762</v>
      </c>
    </row>
    <row r="11183" spans="1:2" x14ac:dyDescent="0.3">
      <c r="A11183" s="7" t="str">
        <f>HYPERLINK("http://www.eatonpowersource.com/products/details/102ec84001a","102EC84001A")</f>
        <v>102EC84001A</v>
      </c>
      <c r="B11183" s="8" t="s">
        <v>10763</v>
      </c>
    </row>
    <row r="11184" spans="1:2" x14ac:dyDescent="0.3">
      <c r="A11184" s="5" t="str">
        <f>HYPERLINK("http://www.eatonpowersource.com/products/details/102ec84002a","102EC84002A")</f>
        <v>102EC84002A</v>
      </c>
      <c r="B11184" s="6" t="s">
        <v>10764</v>
      </c>
    </row>
    <row r="11185" spans="1:2" x14ac:dyDescent="0.3">
      <c r="A11185" s="7" t="str">
        <f>HYPERLINK("http://www.eatonpowersource.com/products/details/102ec94100a","102EC94100A")</f>
        <v>102EC94100A</v>
      </c>
      <c r="B11185" s="8" t="s">
        <v>10765</v>
      </c>
    </row>
    <row r="11186" spans="1:2" x14ac:dyDescent="0.3">
      <c r="A11186" s="5" t="str">
        <f>HYPERLINK("http://www.eatonpowersource.com/products/details/102ec99101a","102EC99101A")</f>
        <v>102EC99101A</v>
      </c>
      <c r="B11186" s="6" t="s">
        <v>10766</v>
      </c>
    </row>
    <row r="11187" spans="1:2" x14ac:dyDescent="0.3">
      <c r="A11187" s="7" t="str">
        <f>HYPERLINK("http://www.eatonpowersource.com/products/details/102ec99108a","102EC99108A")</f>
        <v>102EC99108A</v>
      </c>
      <c r="B11187" s="8" t="s">
        <v>10767</v>
      </c>
    </row>
    <row r="11188" spans="1:2" x14ac:dyDescent="0.3">
      <c r="A11188" s="9" t="str">
        <f>HYPERLINK("http://www.eatonpowersource.com/products/details/103ec99001a","103EC99001A")</f>
        <v>103EC99001A</v>
      </c>
      <c r="B11188" s="10" t="s">
        <v>10768</v>
      </c>
    </row>
    <row r="11189" spans="1:2" x14ac:dyDescent="0.3">
      <c r="A11189" s="7" t="str">
        <f>HYPERLINK("http://www.eatonpowersource.com/products/configure/pumps/details/222ak00008b","222AK00008B")</f>
        <v>222AK00008B</v>
      </c>
      <c r="B11189" s="8" t="s">
        <v>10769</v>
      </c>
    </row>
    <row r="11190" spans="1:2" x14ac:dyDescent="0.3">
      <c r="A11190" s="9" t="str">
        <f>HYPERLINK("http://www.eatonpowersource.com/products/configure/pumps/details/222ak00012b","222AK00012B")</f>
        <v>222AK00012B</v>
      </c>
      <c r="B11190" s="10" t="s">
        <v>10770</v>
      </c>
    </row>
    <row r="11191" spans="1:2" x14ac:dyDescent="0.3">
      <c r="A11191" s="7" t="str">
        <f>HYPERLINK("http://www.eatonpowersource.com/products/configure/pumps/details/222ak00013b","222AK00013B")</f>
        <v>222AK00013B</v>
      </c>
      <c r="B11191" s="8" t="s">
        <v>10771</v>
      </c>
    </row>
    <row r="11192" spans="1:2" x14ac:dyDescent="0.3">
      <c r="A11192" s="9" t="str">
        <f>HYPERLINK("http://www.eatonpowersource.com/products/configure/pumps/details/222ak00014b","222AK00014B")</f>
        <v>222AK00014B</v>
      </c>
      <c r="B11192" s="10" t="s">
        <v>10772</v>
      </c>
    </row>
    <row r="11193" spans="1:2" x14ac:dyDescent="0.3">
      <c r="A11193" s="7" t="str">
        <f>HYPERLINK("http://www.eatonpowersource.com/products/configure/pumps/details/222ak00015b","222AK00015B")</f>
        <v>222AK00015B</v>
      </c>
      <c r="B11193" s="8" t="s">
        <v>10773</v>
      </c>
    </row>
    <row r="11194" spans="1:2" x14ac:dyDescent="0.3">
      <c r="A11194" s="9" t="str">
        <f>HYPERLINK("http://www.eatonpowersource.com/products/configure/pumps/details/222ak00016b","222AK00016B")</f>
        <v>222AK00016B</v>
      </c>
      <c r="B11194" s="10" t="s">
        <v>10774</v>
      </c>
    </row>
    <row r="11195" spans="1:2" x14ac:dyDescent="0.3">
      <c r="A11195" s="7" t="str">
        <f>HYPERLINK("http://www.eatonpowersource.com/products/configure/pumps/details/222ak00018b","222AK00018B")</f>
        <v>222AK00018B</v>
      </c>
      <c r="B11195" s="8" t="s">
        <v>10775</v>
      </c>
    </row>
    <row r="11196" spans="1:2" x14ac:dyDescent="0.3">
      <c r="A11196" s="9" t="str">
        <f>HYPERLINK("http://www.eatonpowersource.com/products/configure/pumps/details/222ak00019b","222AK00019B")</f>
        <v>222AK00019B</v>
      </c>
      <c r="B11196" s="10" t="s">
        <v>10776</v>
      </c>
    </row>
    <row r="11197" spans="1:2" x14ac:dyDescent="0.3">
      <c r="A11197" s="7" t="str">
        <f>HYPERLINK("http://www.eatonpowersource.com/products/configure/pumps/details/222ak00020b","222AK00020B")</f>
        <v>222AK00020B</v>
      </c>
      <c r="B11197" s="8" t="s">
        <v>10777</v>
      </c>
    </row>
    <row r="11198" spans="1:2" x14ac:dyDescent="0.3">
      <c r="A11198" s="9" t="str">
        <f>HYPERLINK("http://www.eatonpowersource.com/products/configure/pumps/details/222ak00021b","222AK00021B")</f>
        <v>222AK00021B</v>
      </c>
      <c r="B11198" s="10" t="s">
        <v>10778</v>
      </c>
    </row>
    <row r="11199" spans="1:2" x14ac:dyDescent="0.3">
      <c r="A11199" s="7" t="str">
        <f>HYPERLINK("http://www.eatonpowersource.com/products/configure/pumps/details/222ak00024b","222AK00024B")</f>
        <v>222AK00024B</v>
      </c>
      <c r="B11199" s="8" t="s">
        <v>10779</v>
      </c>
    </row>
    <row r="11200" spans="1:2" x14ac:dyDescent="0.3">
      <c r="A11200" s="9" t="str">
        <f>HYPERLINK("http://www.eatonpowersource.com/products/configure/pumps/details/222ak00027b","222AK00027B")</f>
        <v>222AK00027B</v>
      </c>
      <c r="B11200" s="10" t="s">
        <v>10780</v>
      </c>
    </row>
    <row r="11201" spans="1:2" x14ac:dyDescent="0.3">
      <c r="A11201" s="7" t="str">
        <f>HYPERLINK("http://www.eatonpowersource.com/products/configure/pumps/details/222ak00028b","222AK00028B")</f>
        <v>222AK00028B</v>
      </c>
      <c r="B11201" s="8" t="s">
        <v>10781</v>
      </c>
    </row>
    <row r="11202" spans="1:2" x14ac:dyDescent="0.3">
      <c r="A11202" s="9" t="str">
        <f>HYPERLINK("http://www.eatonpowersource.com/products/configure/pumps/details/222ak00030b","222AK00030B")</f>
        <v>222AK00030B</v>
      </c>
      <c r="B11202" s="10" t="s">
        <v>10782</v>
      </c>
    </row>
    <row r="11203" spans="1:2" x14ac:dyDescent="0.3">
      <c r="A11203" s="7" t="str">
        <f>HYPERLINK("http://www.eatonpowersource.com/products/configure/pumps/details/222ak00032b","222AK00032B")</f>
        <v>222AK00032B</v>
      </c>
      <c r="B11203" s="8" t="s">
        <v>10783</v>
      </c>
    </row>
    <row r="11204" spans="1:2" x14ac:dyDescent="0.3">
      <c r="A11204" s="9" t="str">
        <f>HYPERLINK("http://www.eatonpowersource.com/products/configure/pumps/details/222ak00035b","222AK00035B")</f>
        <v>222AK00035B</v>
      </c>
      <c r="B11204" s="10" t="s">
        <v>10784</v>
      </c>
    </row>
    <row r="11205" spans="1:2" x14ac:dyDescent="0.3">
      <c r="A11205" s="7" t="str">
        <f>HYPERLINK("http://www.eatonpowersource.com/products/configure/pumps/details/222ak00045b","222AK00045B")</f>
        <v>222AK00045B</v>
      </c>
      <c r="B11205" s="8" t="s">
        <v>10785</v>
      </c>
    </row>
    <row r="11206" spans="1:2" x14ac:dyDescent="0.3">
      <c r="A11206" s="9" t="str">
        <f>HYPERLINK("http://www.eatonpowersource.com/products/configure/pumps/details/222ak00049b","222AK00049B")</f>
        <v>222AK00049B</v>
      </c>
      <c r="B11206" s="10" t="s">
        <v>10786</v>
      </c>
    </row>
    <row r="11207" spans="1:2" x14ac:dyDescent="0.3">
      <c r="A11207" s="7" t="str">
        <f>HYPERLINK("http://www.eatonpowersource.com/products/configure/pumps/details/222ak00051b","222AK00051B")</f>
        <v>222AK00051B</v>
      </c>
      <c r="B11207" s="8" t="s">
        <v>10787</v>
      </c>
    </row>
    <row r="11208" spans="1:2" x14ac:dyDescent="0.3">
      <c r="A11208" s="9" t="str">
        <f>HYPERLINK("http://www.eatonpowersource.com/products/configure/pumps/details/222ak00052b","222AK00052B")</f>
        <v>222AK00052B</v>
      </c>
      <c r="B11208" s="10" t="s">
        <v>10788</v>
      </c>
    </row>
    <row r="11209" spans="1:2" x14ac:dyDescent="0.3">
      <c r="A11209" s="7" t="str">
        <f>HYPERLINK("http://www.eatonpowersource.com/products/configure/pumps/details/222ak00053b","222AK00053B")</f>
        <v>222AK00053B</v>
      </c>
      <c r="B11209" s="8" t="s">
        <v>10789</v>
      </c>
    </row>
    <row r="11210" spans="1:2" x14ac:dyDescent="0.3">
      <c r="A11210" s="9" t="str">
        <f>HYPERLINK("http://www.eatonpowersource.com/products/configure/pumps/details/222ak00056b","222AK00056B")</f>
        <v>222AK00056B</v>
      </c>
      <c r="B11210" s="10" t="s">
        <v>10790</v>
      </c>
    </row>
    <row r="11211" spans="1:2" x14ac:dyDescent="0.3">
      <c r="A11211" s="7" t="str">
        <f>HYPERLINK("http://www.eatonpowersource.com/products/configure/pumps/details/222ak00074b","222AK00074B")</f>
        <v>222AK00074B</v>
      </c>
      <c r="B11211" s="8" t="s">
        <v>10791</v>
      </c>
    </row>
    <row r="11212" spans="1:2" x14ac:dyDescent="0.3">
      <c r="A11212" s="9" t="str">
        <f>HYPERLINK("http://www.eatonpowersource.com/products/configure/pumps/details/222ak00075b","222AK00075B")</f>
        <v>222AK00075B</v>
      </c>
      <c r="B11212" s="10" t="s">
        <v>10792</v>
      </c>
    </row>
    <row r="11213" spans="1:2" x14ac:dyDescent="0.3">
      <c r="A11213" s="7" t="str">
        <f>HYPERLINK("http://www.eatonpowersource.com/products/configure/pumps/details/222ak00077b","222AK00077B")</f>
        <v>222AK00077B</v>
      </c>
      <c r="B11213" s="8" t="s">
        <v>10793</v>
      </c>
    </row>
    <row r="11214" spans="1:2" x14ac:dyDescent="0.3">
      <c r="A11214" s="9" t="str">
        <f>HYPERLINK("http://www.eatonpowersource.com/products/configure/pumps/details/222ak00079b","222AK00079B")</f>
        <v>222AK00079B</v>
      </c>
      <c r="B11214" s="10" t="s">
        <v>10794</v>
      </c>
    </row>
    <row r="11215" spans="1:2" x14ac:dyDescent="0.3">
      <c r="A11215" s="7" t="str">
        <f>HYPERLINK("http://www.eatonpowersource.com/products/configure/pumps/details/222ak00081b","222AK00081B")</f>
        <v>222AK00081B</v>
      </c>
      <c r="B11215" s="8" t="s">
        <v>10795</v>
      </c>
    </row>
    <row r="11216" spans="1:2" x14ac:dyDescent="0.3">
      <c r="A11216" s="9" t="str">
        <f>HYPERLINK("http://www.eatonpowersource.com/products/configure/pumps/details/222ak00091b","222AK00091B")</f>
        <v>222AK00091B</v>
      </c>
      <c r="B11216" s="10" t="s">
        <v>10796</v>
      </c>
    </row>
    <row r="11217" spans="1:2" x14ac:dyDescent="0.3">
      <c r="A11217" s="7" t="str">
        <f>HYPERLINK("http://www.eatonpowersource.com/products/configure/pumps/details/222ak00096b","222AK00096B")</f>
        <v>222AK00096B</v>
      </c>
      <c r="B11217" s="8" t="s">
        <v>10797</v>
      </c>
    </row>
    <row r="11218" spans="1:2" x14ac:dyDescent="0.3">
      <c r="A11218" s="9" t="str">
        <f>HYPERLINK("http://www.eatonpowersource.com/products/configure/pumps/details/222ak00117b","222AK00117B")</f>
        <v>222AK00117B</v>
      </c>
      <c r="B11218" s="10" t="s">
        <v>10798</v>
      </c>
    </row>
    <row r="11219" spans="1:2" x14ac:dyDescent="0.3">
      <c r="A11219" s="7" t="str">
        <f>HYPERLINK("http://www.eatonpowersource.com/products/configure/pumps/details/222ak00135b","222AK00135B")</f>
        <v>222AK00135B</v>
      </c>
      <c r="B11219" s="8" t="s">
        <v>10799</v>
      </c>
    </row>
    <row r="11220" spans="1:2" x14ac:dyDescent="0.3">
      <c r="A11220" s="9" t="str">
        <f>HYPERLINK("http://www.eatonpowersource.com/products/configure/pumps/details/222ak00150b","222AK00150B")</f>
        <v>222AK00150B</v>
      </c>
      <c r="B11220" s="10" t="s">
        <v>10800</v>
      </c>
    </row>
    <row r="11221" spans="1:2" x14ac:dyDescent="0.3">
      <c r="A11221" s="7" t="str">
        <f>HYPERLINK("http://www.eatonpowersource.com/products/configure/pumps/details/222ak00166b","222AK00166B")</f>
        <v>222AK00166B</v>
      </c>
      <c r="B11221" s="8" t="s">
        <v>10801</v>
      </c>
    </row>
    <row r="11222" spans="1:2" x14ac:dyDescent="0.3">
      <c r="A11222" s="9" t="str">
        <f>HYPERLINK("http://www.eatonpowersource.com/products/configure/pumps/details/222ak00177b","222AK00177B")</f>
        <v>222AK00177B</v>
      </c>
      <c r="B11222" s="10" t="s">
        <v>10802</v>
      </c>
    </row>
    <row r="11223" spans="1:2" x14ac:dyDescent="0.3">
      <c r="A11223" s="7" t="str">
        <f>HYPERLINK("http://www.eatonpowersource.com/products/configure/pumps/details/222ak00184b","222AK00184B")</f>
        <v>222AK00184B</v>
      </c>
      <c r="B11223" s="8" t="s">
        <v>10803</v>
      </c>
    </row>
    <row r="11224" spans="1:2" x14ac:dyDescent="0.3">
      <c r="A11224" s="9" t="str">
        <f>HYPERLINK("http://www.eatonpowersource.com/products/configure/pumps/details/222ak00188b","222AK00188B")</f>
        <v>222AK00188B</v>
      </c>
      <c r="B11224" s="10" t="s">
        <v>10804</v>
      </c>
    </row>
    <row r="11225" spans="1:2" x14ac:dyDescent="0.3">
      <c r="A11225" s="7" t="str">
        <f>HYPERLINK("http://www.eatonpowersource.com/products/configure/pumps/details/222ak00192b","222AK00192B")</f>
        <v>222AK00192B</v>
      </c>
      <c r="B11225" s="8" t="s">
        <v>10805</v>
      </c>
    </row>
    <row r="11226" spans="1:2" x14ac:dyDescent="0.3">
      <c r="A11226" s="9" t="str">
        <f>HYPERLINK("http://www.eatonpowersource.com/products/configure/pumps/details/222ak00194b","222AK00194B")</f>
        <v>222AK00194B</v>
      </c>
      <c r="B11226" s="10" t="s">
        <v>10806</v>
      </c>
    </row>
    <row r="11227" spans="1:2" x14ac:dyDescent="0.3">
      <c r="A11227" s="7" t="str">
        <f>HYPERLINK("http://www.eatonpowersource.com/products/configure/pumps/details/222ak00195b","222AK00195B")</f>
        <v>222AK00195B</v>
      </c>
      <c r="B11227" s="8" t="s">
        <v>10807</v>
      </c>
    </row>
    <row r="11228" spans="1:2" x14ac:dyDescent="0.3">
      <c r="A11228" s="9" t="str">
        <f>HYPERLINK("http://www.eatonpowersource.com/products/configure/pumps/details/222ak00200b","222AK00200B")</f>
        <v>222AK00200B</v>
      </c>
      <c r="B11228" s="10" t="s">
        <v>10808</v>
      </c>
    </row>
    <row r="11229" spans="1:2" x14ac:dyDescent="0.3">
      <c r="A11229" s="7" t="str">
        <f>HYPERLINK("http://www.eatonpowersource.com/products/configure/pumps/details/222ak00204b","222AK00204B")</f>
        <v>222AK00204B</v>
      </c>
      <c r="B11229" s="8" t="s">
        <v>10809</v>
      </c>
    </row>
    <row r="11230" spans="1:2" x14ac:dyDescent="0.3">
      <c r="A11230" s="9" t="str">
        <f>HYPERLINK("http://www.eatonpowersource.com/products/configure/pumps/details/222ak00208b","222AK00208B")</f>
        <v>222AK00208B</v>
      </c>
      <c r="B11230" s="10" t="s">
        <v>10810</v>
      </c>
    </row>
    <row r="11231" spans="1:2" x14ac:dyDescent="0.3">
      <c r="A11231" s="7" t="str">
        <f>HYPERLINK("http://www.eatonpowersource.com/products/configure/pumps/details/222ak00209b","222AK00209B")</f>
        <v>222AK00209B</v>
      </c>
      <c r="B11231" s="8" t="s">
        <v>10811</v>
      </c>
    </row>
    <row r="11232" spans="1:2" x14ac:dyDescent="0.3">
      <c r="A11232" s="9" t="str">
        <f>HYPERLINK("http://www.eatonpowersource.com/products/configure/pumps/details/222ak00211b","222AK00211B")</f>
        <v>222AK00211B</v>
      </c>
      <c r="B11232" s="10" t="s">
        <v>10812</v>
      </c>
    </row>
    <row r="11233" spans="1:2" x14ac:dyDescent="0.3">
      <c r="A11233" s="7" t="str">
        <f>HYPERLINK("http://www.eatonpowersource.com/products/configure/pumps/details/222ak00216b","222AK00216B")</f>
        <v>222AK00216B</v>
      </c>
      <c r="B11233" s="8" t="s">
        <v>10813</v>
      </c>
    </row>
    <row r="11234" spans="1:2" x14ac:dyDescent="0.3">
      <c r="A11234" s="9" t="str">
        <f>HYPERLINK("http://www.eatonpowersource.com/products/configure/pumps/details/222ak00234b","222AK00234B")</f>
        <v>222AK00234B</v>
      </c>
      <c r="B11234" s="10" t="s">
        <v>10814</v>
      </c>
    </row>
    <row r="11235" spans="1:2" x14ac:dyDescent="0.3">
      <c r="A11235" s="7" t="str">
        <f>HYPERLINK("http://www.eatonpowersource.com/products/configure/motors/details/101-1001-009","101-1001-009")</f>
        <v>101-1001-009</v>
      </c>
      <c r="B11235" s="8" t="s">
        <v>10815</v>
      </c>
    </row>
    <row r="11236" spans="1:2" x14ac:dyDescent="0.3">
      <c r="A11236" s="9" t="str">
        <f>HYPERLINK("http://www.eatonpowersource.com/products/configure/motors/details/101-1002-009","101-1002-009")</f>
        <v>101-1002-009</v>
      </c>
      <c r="B11236" s="10" t="s">
        <v>10816</v>
      </c>
    </row>
    <row r="11237" spans="1:2" x14ac:dyDescent="0.3">
      <c r="A11237" s="7" t="str">
        <f>HYPERLINK("http://www.eatonpowersource.com/products/configure/motors/details/101-1003-009","101-1003-009")</f>
        <v>101-1003-009</v>
      </c>
      <c r="B11237" s="8" t="s">
        <v>10817</v>
      </c>
    </row>
    <row r="11238" spans="1:2" x14ac:dyDescent="0.3">
      <c r="A11238" s="9" t="str">
        <f>HYPERLINK("http://www.eatonpowersource.com/products/configure/motors/details/101-1004-009","101-1004-009")</f>
        <v>101-1004-009</v>
      </c>
      <c r="B11238" s="10" t="s">
        <v>10818</v>
      </c>
    </row>
    <row r="11239" spans="1:2" x14ac:dyDescent="0.3">
      <c r="A11239" s="7" t="str">
        <f>HYPERLINK("http://www.eatonpowersource.com/products/configure/motors/details/101-1005-009","101-1005-009")</f>
        <v>101-1005-009</v>
      </c>
      <c r="B11239" s="8" t="s">
        <v>10819</v>
      </c>
    </row>
    <row r="11240" spans="1:2" x14ac:dyDescent="0.3">
      <c r="A11240" s="9" t="str">
        <f>HYPERLINK("http://www.eatonpowersource.com/products/configure/motors/details/101-1006-009","101-1006-009")</f>
        <v>101-1006-009</v>
      </c>
      <c r="B11240" s="10" t="s">
        <v>10820</v>
      </c>
    </row>
    <row r="11241" spans="1:2" x14ac:dyDescent="0.3">
      <c r="A11241" s="7" t="str">
        <f>HYPERLINK("http://www.eatonpowersource.com/products/configure/motors/details/101-1007-009","101-1007-009")</f>
        <v>101-1007-009</v>
      </c>
      <c r="B11241" s="8" t="s">
        <v>10821</v>
      </c>
    </row>
    <row r="11242" spans="1:2" x14ac:dyDescent="0.3">
      <c r="A11242" s="9" t="str">
        <f>HYPERLINK("http://www.eatonpowersource.com/products/configure/motors/details/101-1008-009","101-1008-009")</f>
        <v>101-1008-009</v>
      </c>
      <c r="B11242" s="10" t="s">
        <v>10822</v>
      </c>
    </row>
    <row r="11243" spans="1:2" x14ac:dyDescent="0.3">
      <c r="A11243" s="7" t="str">
        <f>HYPERLINK("http://www.eatonpowersource.com/products/configure/motors/details/101-1009-009","101-1009-009")</f>
        <v>101-1009-009</v>
      </c>
      <c r="B11243" s="8" t="s">
        <v>10823</v>
      </c>
    </row>
    <row r="11244" spans="1:2" x14ac:dyDescent="0.3">
      <c r="A11244" s="9" t="str">
        <f>HYPERLINK("http://www.eatonpowersource.com/products/configure/motors/details/101-1010-009","101-1010-009")</f>
        <v>101-1010-009</v>
      </c>
      <c r="B11244" s="10" t="s">
        <v>10824</v>
      </c>
    </row>
    <row r="11245" spans="1:2" x14ac:dyDescent="0.3">
      <c r="A11245" s="7" t="str">
        <f>HYPERLINK("http://www.eatonpowersource.com/products/configure/motors/details/101-1011-009","101-1011-009")</f>
        <v>101-1011-009</v>
      </c>
      <c r="B11245" s="8" t="s">
        <v>10825</v>
      </c>
    </row>
    <row r="11246" spans="1:2" x14ac:dyDescent="0.3">
      <c r="A11246" s="9" t="str">
        <f>HYPERLINK("http://www.eatonpowersource.com/products/configure/motors/details/101-1012-009","101-1012-009")</f>
        <v>101-1012-009</v>
      </c>
      <c r="B11246" s="10" t="s">
        <v>10826</v>
      </c>
    </row>
    <row r="11247" spans="1:2" x14ac:dyDescent="0.3">
      <c r="A11247" s="7" t="str">
        <f>HYPERLINK("http://www.eatonpowersource.com/products/configure/motors/details/101-1013-009","101-1013-009")</f>
        <v>101-1013-009</v>
      </c>
      <c r="B11247" s="8" t="s">
        <v>10827</v>
      </c>
    </row>
    <row r="11248" spans="1:2" x14ac:dyDescent="0.3">
      <c r="A11248" s="9" t="str">
        <f>HYPERLINK("http://www.eatonpowersource.com/products/configure/motors/details/101-1014-009","101-1014-009")</f>
        <v>101-1014-009</v>
      </c>
      <c r="B11248" s="10" t="s">
        <v>10828</v>
      </c>
    </row>
    <row r="11249" spans="1:2" x14ac:dyDescent="0.3">
      <c r="A11249" s="7" t="str">
        <f>HYPERLINK("http://www.eatonpowersource.com/products/configure/motors/details/101-1015-009","101-1015-009")</f>
        <v>101-1015-009</v>
      </c>
      <c r="B11249" s="8" t="s">
        <v>10829</v>
      </c>
    </row>
    <row r="11250" spans="1:2" x14ac:dyDescent="0.3">
      <c r="A11250" s="9" t="str">
        <f>HYPERLINK("http://www.eatonpowersource.com/products/configure/motors/details/101-1016-009","101-1016-009")</f>
        <v>101-1016-009</v>
      </c>
      <c r="B11250" s="10" t="s">
        <v>10830</v>
      </c>
    </row>
    <row r="11251" spans="1:2" x14ac:dyDescent="0.3">
      <c r="A11251" s="7" t="str">
        <f>HYPERLINK("http://www.eatonpowersource.com/products/configure/motors/details/101-1017-009","101-1017-009")</f>
        <v>101-1017-009</v>
      </c>
      <c r="B11251" s="8" t="s">
        <v>10831</v>
      </c>
    </row>
    <row r="11252" spans="1:2" x14ac:dyDescent="0.3">
      <c r="A11252" s="9" t="str">
        <f>HYPERLINK("http://www.eatonpowersource.com/products/configure/motors/details/101-1018-009","101-1018-009")</f>
        <v>101-1018-009</v>
      </c>
      <c r="B11252" s="10" t="s">
        <v>10832</v>
      </c>
    </row>
    <row r="11253" spans="1:2" x14ac:dyDescent="0.3">
      <c r="A11253" s="7" t="str">
        <f>HYPERLINK("http://www.eatonpowersource.com/products/configure/motors/details/101-1019-009","101-1019-009")</f>
        <v>101-1019-009</v>
      </c>
      <c r="B11253" s="8" t="s">
        <v>10833</v>
      </c>
    </row>
    <row r="11254" spans="1:2" x14ac:dyDescent="0.3">
      <c r="A11254" s="9" t="str">
        <f>HYPERLINK("http://www.eatonpowersource.com/products/configure/motors/details/101-1021-009","101-1021-009")</f>
        <v>101-1021-009</v>
      </c>
      <c r="B11254" s="10" t="s">
        <v>10834</v>
      </c>
    </row>
    <row r="11255" spans="1:2" x14ac:dyDescent="0.3">
      <c r="A11255" s="7" t="str">
        <f>HYPERLINK("http://www.eatonpowersource.com/products/configure/motors/details/101-1023-009","101-1023-009")</f>
        <v>101-1023-009</v>
      </c>
      <c r="B11255" s="8" t="s">
        <v>10835</v>
      </c>
    </row>
    <row r="11256" spans="1:2" x14ac:dyDescent="0.3">
      <c r="A11256" s="9" t="str">
        <f>HYPERLINK("http://www.eatonpowersource.com/products/configure/motors/details/101-1024-009","101-1024-009")</f>
        <v>101-1024-009</v>
      </c>
      <c r="B11256" s="10" t="s">
        <v>10836</v>
      </c>
    </row>
    <row r="11257" spans="1:2" x14ac:dyDescent="0.3">
      <c r="A11257" s="7" t="str">
        <f>HYPERLINK("http://www.eatonpowersource.com/products/configure/motors/details/101-1025-009","101-1025-009")</f>
        <v>101-1025-009</v>
      </c>
      <c r="B11257" s="8" t="s">
        <v>10837</v>
      </c>
    </row>
    <row r="11258" spans="1:2" x14ac:dyDescent="0.3">
      <c r="A11258" s="9" t="str">
        <f>HYPERLINK("http://www.eatonpowersource.com/products/configure/motors/details/101-1026-009","101-1026-009")</f>
        <v>101-1026-009</v>
      </c>
      <c r="B11258" s="10" t="s">
        <v>10838</v>
      </c>
    </row>
    <row r="11259" spans="1:2" x14ac:dyDescent="0.3">
      <c r="A11259" s="7" t="str">
        <f>HYPERLINK("http://www.eatonpowersource.com/products/configure/motors/details/101-1027-009","101-1027-009")</f>
        <v>101-1027-009</v>
      </c>
      <c r="B11259" s="8" t="s">
        <v>10839</v>
      </c>
    </row>
    <row r="11260" spans="1:2" x14ac:dyDescent="0.3">
      <c r="A11260" s="9" t="str">
        <f>HYPERLINK("http://www.eatonpowersource.com/products/configure/motors/details/101-1028-009","101-1028-009")</f>
        <v>101-1028-009</v>
      </c>
      <c r="B11260" s="10" t="s">
        <v>10840</v>
      </c>
    </row>
    <row r="11261" spans="1:2" x14ac:dyDescent="0.3">
      <c r="A11261" s="7" t="str">
        <f>HYPERLINK("http://www.eatonpowersource.com/products/configure/motors/details/101-1029-009","101-1029-009")</f>
        <v>101-1029-009</v>
      </c>
      <c r="B11261" s="8" t="s">
        <v>10841</v>
      </c>
    </row>
    <row r="11262" spans="1:2" x14ac:dyDescent="0.3">
      <c r="A11262" s="9" t="str">
        <f>HYPERLINK("http://www.eatonpowersource.com/products/configure/motors/details/101-1030-009","101-1030-009")</f>
        <v>101-1030-009</v>
      </c>
      <c r="B11262" s="10" t="s">
        <v>10842</v>
      </c>
    </row>
    <row r="11263" spans="1:2" x14ac:dyDescent="0.3">
      <c r="A11263" s="7" t="str">
        <f>HYPERLINK("http://www.eatonpowersource.com/products/configure/motors/details/101-1031-009","101-1031-009")</f>
        <v>101-1031-009</v>
      </c>
      <c r="B11263" s="8" t="s">
        <v>10843</v>
      </c>
    </row>
    <row r="11264" spans="1:2" x14ac:dyDescent="0.3">
      <c r="A11264" s="9" t="str">
        <f>HYPERLINK("http://www.eatonpowersource.com/products/configure/motors/details/101-1032-009","101-1032-009")</f>
        <v>101-1032-009</v>
      </c>
      <c r="B11264" s="10" t="s">
        <v>10844</v>
      </c>
    </row>
    <row r="11265" spans="1:2" x14ac:dyDescent="0.3">
      <c r="A11265" s="7" t="str">
        <f>HYPERLINK("http://www.eatonpowersource.com/products/configure/motors/details/101-1033-009","101-1033-009")</f>
        <v>101-1033-009</v>
      </c>
      <c r="B11265" s="8" t="s">
        <v>10845</v>
      </c>
    </row>
    <row r="11266" spans="1:2" x14ac:dyDescent="0.3">
      <c r="A11266" s="9" t="str">
        <f>HYPERLINK("http://www.eatonpowersource.com/products/configure/motors/details/101-1034-009","101-1034-009")</f>
        <v>101-1034-009</v>
      </c>
      <c r="B11266" s="10" t="s">
        <v>10846</v>
      </c>
    </row>
    <row r="11267" spans="1:2" x14ac:dyDescent="0.3">
      <c r="A11267" s="7" t="str">
        <f>HYPERLINK("http://www.eatonpowersource.com/products/configure/motors/details/101-1035-009","101-1035-009")</f>
        <v>101-1035-009</v>
      </c>
      <c r="B11267" s="8" t="s">
        <v>10847</v>
      </c>
    </row>
    <row r="11268" spans="1:2" x14ac:dyDescent="0.3">
      <c r="A11268" s="9" t="str">
        <f>HYPERLINK("http://www.eatonpowersource.com/products/configure/motors/details/101-1036-009","101-1036-009")</f>
        <v>101-1036-009</v>
      </c>
      <c r="B11268" s="10" t="s">
        <v>10848</v>
      </c>
    </row>
    <row r="11269" spans="1:2" x14ac:dyDescent="0.3">
      <c r="A11269" s="7" t="str">
        <f>HYPERLINK("http://www.eatonpowersource.com/products/configure/motors/details/101-1037-009","101-1037-009")</f>
        <v>101-1037-009</v>
      </c>
      <c r="B11269" s="8" t="s">
        <v>10849</v>
      </c>
    </row>
    <row r="11270" spans="1:2" x14ac:dyDescent="0.3">
      <c r="A11270" s="9" t="str">
        <f>HYPERLINK("http://www.eatonpowersource.com/products/configure/motors/details/101-1038-009","101-1038-009")</f>
        <v>101-1038-009</v>
      </c>
      <c r="B11270" s="10" t="s">
        <v>10850</v>
      </c>
    </row>
    <row r="11271" spans="1:2" x14ac:dyDescent="0.3">
      <c r="A11271" s="7" t="str">
        <f>HYPERLINK("http://www.eatonpowersource.com/products/configure/motors/details/101-1039-009","101-1039-009")</f>
        <v>101-1039-009</v>
      </c>
      <c r="B11271" s="8" t="s">
        <v>10851</v>
      </c>
    </row>
    <row r="11272" spans="1:2" x14ac:dyDescent="0.3">
      <c r="A11272" s="9" t="str">
        <f>HYPERLINK("http://www.eatonpowersource.com/products/configure/motors/details/101-1040-009","101-1040-009")</f>
        <v>101-1040-009</v>
      </c>
      <c r="B11272" s="10" t="s">
        <v>10852</v>
      </c>
    </row>
    <row r="11273" spans="1:2" x14ac:dyDescent="0.3">
      <c r="A11273" s="7" t="str">
        <f>HYPERLINK("http://www.eatonpowersource.com/products/configure/motors/details/101-1042-009","101-1042-009")</f>
        <v>101-1042-009</v>
      </c>
      <c r="B11273" s="8" t="s">
        <v>10853</v>
      </c>
    </row>
    <row r="11274" spans="1:2" x14ac:dyDescent="0.3">
      <c r="A11274" s="9" t="str">
        <f>HYPERLINK("http://www.eatonpowersource.com/products/configure/motors/details/101-1043-009","101-1043-009")</f>
        <v>101-1043-009</v>
      </c>
      <c r="B11274" s="10" t="s">
        <v>10854</v>
      </c>
    </row>
    <row r="11275" spans="1:2" x14ac:dyDescent="0.3">
      <c r="A11275" s="7" t="str">
        <f>HYPERLINK("http://www.eatonpowersource.com/products/configure/motors/details/101-1044-009","101-1044-009")</f>
        <v>101-1044-009</v>
      </c>
      <c r="B11275" s="8" t="s">
        <v>10855</v>
      </c>
    </row>
    <row r="11276" spans="1:2" x14ac:dyDescent="0.3">
      <c r="A11276" s="9" t="str">
        <f>HYPERLINK("http://www.eatonpowersource.com/products/configure/motors/details/101-1045-009","101-1045-009")</f>
        <v>101-1045-009</v>
      </c>
      <c r="B11276" s="10" t="s">
        <v>10856</v>
      </c>
    </row>
    <row r="11277" spans="1:2" x14ac:dyDescent="0.3">
      <c r="A11277" s="7" t="str">
        <f>HYPERLINK("http://www.eatonpowersource.com/products/configure/motors/details/101-1046-009","101-1046-009")</f>
        <v>101-1046-009</v>
      </c>
      <c r="B11277" s="8" t="s">
        <v>10857</v>
      </c>
    </row>
    <row r="11278" spans="1:2" x14ac:dyDescent="0.3">
      <c r="A11278" s="9" t="str">
        <f>HYPERLINK("http://www.eatonpowersource.com/products/configure/motors/details/101-1048-009","101-1048-009")</f>
        <v>101-1048-009</v>
      </c>
      <c r="B11278" s="10" t="s">
        <v>10858</v>
      </c>
    </row>
    <row r="11279" spans="1:2" x14ac:dyDescent="0.3">
      <c r="A11279" s="7" t="str">
        <f>HYPERLINK("http://www.eatonpowersource.com/products/configure/motors/details/101-1050-009","101-1050-009")</f>
        <v>101-1050-009</v>
      </c>
      <c r="B11279" s="8" t="s">
        <v>10859</v>
      </c>
    </row>
    <row r="11280" spans="1:2" x14ac:dyDescent="0.3">
      <c r="A11280" s="9" t="str">
        <f>HYPERLINK("http://www.eatonpowersource.com/products/configure/motors/details/101-1052-009","101-1052-009")</f>
        <v>101-1052-009</v>
      </c>
      <c r="B11280" s="10" t="s">
        <v>10860</v>
      </c>
    </row>
    <row r="11281" spans="1:2" x14ac:dyDescent="0.3">
      <c r="A11281" s="7" t="str">
        <f>HYPERLINK("http://www.eatonpowersource.com/products/configure/motors/details/101-1054-009","101-1054-009")</f>
        <v>101-1054-009</v>
      </c>
      <c r="B11281" s="8" t="s">
        <v>10861</v>
      </c>
    </row>
    <row r="11282" spans="1:2" x14ac:dyDescent="0.3">
      <c r="A11282" s="9" t="str">
        <f>HYPERLINK("http://www.eatonpowersource.com/products/configure/motors/details/101-1055-009","101-1055-009")</f>
        <v>101-1055-009</v>
      </c>
      <c r="B11282" s="10" t="s">
        <v>10862</v>
      </c>
    </row>
    <row r="11283" spans="1:2" x14ac:dyDescent="0.3">
      <c r="A11283" s="7" t="str">
        <f>HYPERLINK("http://www.eatonpowersource.com/products/configure/motors/details/101-1058-009","101-1058-009")</f>
        <v>101-1058-009</v>
      </c>
      <c r="B11283" s="8" t="s">
        <v>10863</v>
      </c>
    </row>
    <row r="11284" spans="1:2" x14ac:dyDescent="0.3">
      <c r="A11284" s="9" t="str">
        <f>HYPERLINK("http://www.eatonpowersource.com/products/configure/motors/details/101-1059-009","101-1059-009")</f>
        <v>101-1059-009</v>
      </c>
      <c r="B11284" s="10" t="s">
        <v>10864</v>
      </c>
    </row>
    <row r="11285" spans="1:2" x14ac:dyDescent="0.3">
      <c r="A11285" s="7" t="str">
        <f>HYPERLINK("http://www.eatonpowersource.com/products/configure/motors/details/101-1062-009","101-1062-009")</f>
        <v>101-1062-009</v>
      </c>
      <c r="B11285" s="8" t="s">
        <v>10865</v>
      </c>
    </row>
    <row r="11286" spans="1:2" x14ac:dyDescent="0.3">
      <c r="A11286" s="9" t="str">
        <f>HYPERLINK("http://www.eatonpowersource.com/products/configure/motors/details/101-1065-009","101-1065-009")</f>
        <v>101-1065-009</v>
      </c>
      <c r="B11286" s="10" t="s">
        <v>10866</v>
      </c>
    </row>
    <row r="11287" spans="1:2" x14ac:dyDescent="0.3">
      <c r="A11287" s="7" t="str">
        <f>HYPERLINK("http://www.eatonpowersource.com/products/configure/motors/details/101-1066-009","101-1066-009")</f>
        <v>101-1066-009</v>
      </c>
      <c r="B11287" s="8" t="s">
        <v>10867</v>
      </c>
    </row>
    <row r="11288" spans="1:2" x14ac:dyDescent="0.3">
      <c r="A11288" s="9" t="str">
        <f>HYPERLINK("http://www.eatonpowersource.com/products/configure/motors/details/101-1067-009","101-1067-009")</f>
        <v>101-1067-009</v>
      </c>
      <c r="B11288" s="10" t="s">
        <v>10868</v>
      </c>
    </row>
    <row r="11289" spans="1:2" x14ac:dyDescent="0.3">
      <c r="A11289" s="7" t="str">
        <f>HYPERLINK("http://www.eatonpowersource.com/products/configure/motors/details/101-1068-009","101-1068-009")</f>
        <v>101-1068-009</v>
      </c>
      <c r="B11289" s="8" t="s">
        <v>10869</v>
      </c>
    </row>
    <row r="11290" spans="1:2" x14ac:dyDescent="0.3">
      <c r="A11290" s="9" t="str">
        <f>HYPERLINK("http://www.eatonpowersource.com/products/configure/motors/details/101-1070-009","101-1070-009")</f>
        <v>101-1070-009</v>
      </c>
      <c r="B11290" s="10" t="s">
        <v>10870</v>
      </c>
    </row>
    <row r="11291" spans="1:2" x14ac:dyDescent="0.3">
      <c r="A11291" s="7" t="str">
        <f>HYPERLINK("http://www.eatonpowersource.com/products/configure/motors/details/101-1073-009","101-1073-009")</f>
        <v>101-1073-009</v>
      </c>
      <c r="B11291" s="8" t="s">
        <v>10871</v>
      </c>
    </row>
    <row r="11292" spans="1:2" x14ac:dyDescent="0.3">
      <c r="A11292" s="9" t="str">
        <f>HYPERLINK("http://www.eatonpowersource.com/products/configure/motors/details/101-1074-009","101-1074-009")</f>
        <v>101-1074-009</v>
      </c>
      <c r="B11292" s="10" t="s">
        <v>10872</v>
      </c>
    </row>
    <row r="11293" spans="1:2" x14ac:dyDescent="0.3">
      <c r="A11293" s="7" t="str">
        <f>HYPERLINK("http://www.eatonpowersource.com/products/configure/motors/details/101-1076-009","101-1076-009")</f>
        <v>101-1076-009</v>
      </c>
      <c r="B11293" s="8" t="s">
        <v>10873</v>
      </c>
    </row>
    <row r="11294" spans="1:2" x14ac:dyDescent="0.3">
      <c r="A11294" s="9" t="str">
        <f>HYPERLINK("http://www.eatonpowersource.com/products/configure/motors/details/101-1078-009","101-1078-009")</f>
        <v>101-1078-009</v>
      </c>
      <c r="B11294" s="10" t="s">
        <v>10874</v>
      </c>
    </row>
    <row r="11295" spans="1:2" x14ac:dyDescent="0.3">
      <c r="A11295" s="7" t="str">
        <f>HYPERLINK("http://www.eatonpowersource.com/products/configure/motors/details/101-1079-009","101-1079-009")</f>
        <v>101-1079-009</v>
      </c>
      <c r="B11295" s="8" t="s">
        <v>10875</v>
      </c>
    </row>
    <row r="11296" spans="1:2" x14ac:dyDescent="0.3">
      <c r="A11296" s="9" t="str">
        <f>HYPERLINK("http://www.eatonpowersource.com/products/configure/motors/details/101-1080-009","101-1080-009")</f>
        <v>101-1080-009</v>
      </c>
      <c r="B11296" s="10" t="s">
        <v>10876</v>
      </c>
    </row>
    <row r="11297" spans="1:2" x14ac:dyDescent="0.3">
      <c r="A11297" s="7" t="str">
        <f>HYPERLINK("http://www.eatonpowersource.com/products/configure/motors/details/101-1081-009","101-1081-009")</f>
        <v>101-1081-009</v>
      </c>
      <c r="B11297" s="8" t="s">
        <v>10877</v>
      </c>
    </row>
    <row r="11298" spans="1:2" x14ac:dyDescent="0.3">
      <c r="A11298" s="9" t="str">
        <f>HYPERLINK("http://www.eatonpowersource.com/products/configure/motors/details/101-1082-009","101-1082-009")</f>
        <v>101-1082-009</v>
      </c>
      <c r="B11298" s="10" t="s">
        <v>10878</v>
      </c>
    </row>
    <row r="11299" spans="1:2" x14ac:dyDescent="0.3">
      <c r="A11299" s="7" t="str">
        <f>HYPERLINK("http://www.eatonpowersource.com/products/configure/motors/details/101-1083-009","101-1083-009")</f>
        <v>101-1083-009</v>
      </c>
      <c r="B11299" s="8" t="s">
        <v>10879</v>
      </c>
    </row>
    <row r="11300" spans="1:2" x14ac:dyDescent="0.3">
      <c r="A11300" s="9" t="str">
        <f>HYPERLINK("http://www.eatonpowersource.com/products/configure/motors/details/101-1084-009","101-1084-009")</f>
        <v>101-1084-009</v>
      </c>
      <c r="B11300" s="10" t="s">
        <v>10880</v>
      </c>
    </row>
    <row r="11301" spans="1:2" x14ac:dyDescent="0.3">
      <c r="A11301" s="7" t="str">
        <f>HYPERLINK("http://www.eatonpowersource.com/products/configure/motors/details/101-1085-009","101-1085-009")</f>
        <v>101-1085-009</v>
      </c>
      <c r="B11301" s="8" t="s">
        <v>10881</v>
      </c>
    </row>
    <row r="11302" spans="1:2" x14ac:dyDescent="0.3">
      <c r="A11302" s="9" t="str">
        <f>HYPERLINK("http://www.eatonpowersource.com/products/configure/motors/details/101-1087-009","101-1087-009")</f>
        <v>101-1087-009</v>
      </c>
      <c r="B11302" s="10" t="s">
        <v>10882</v>
      </c>
    </row>
    <row r="11303" spans="1:2" x14ac:dyDescent="0.3">
      <c r="A11303" s="7" t="str">
        <f>HYPERLINK("http://www.eatonpowersource.com/products/configure/motors/details/101-1088-009","101-1088-009")</f>
        <v>101-1088-009</v>
      </c>
      <c r="B11303" s="8" t="s">
        <v>10883</v>
      </c>
    </row>
    <row r="11304" spans="1:2" x14ac:dyDescent="0.3">
      <c r="A11304" s="9" t="str">
        <f>HYPERLINK("http://www.eatonpowersource.com/products/configure/motors/details/101-1090-009","101-1090-009")</f>
        <v>101-1090-009</v>
      </c>
      <c r="B11304" s="10" t="s">
        <v>10884</v>
      </c>
    </row>
    <row r="11305" spans="1:2" x14ac:dyDescent="0.3">
      <c r="A11305" s="7" t="str">
        <f>HYPERLINK("http://www.eatonpowersource.com/products/configure/motors/details/101-1091-009","101-1091-009")</f>
        <v>101-1091-009</v>
      </c>
      <c r="B11305" s="8" t="s">
        <v>10885</v>
      </c>
    </row>
    <row r="11306" spans="1:2" x14ac:dyDescent="0.3">
      <c r="A11306" s="9" t="str">
        <f>HYPERLINK("http://www.eatonpowersource.com/products/configure/motors/details/101-1094-009","101-1094-009")</f>
        <v>101-1094-009</v>
      </c>
      <c r="B11306" s="10" t="s">
        <v>10886</v>
      </c>
    </row>
    <row r="11307" spans="1:2" x14ac:dyDescent="0.3">
      <c r="A11307" s="7" t="str">
        <f>HYPERLINK("http://www.eatonpowersource.com/products/configure/motors/details/101-1100-009","101-1100-009")</f>
        <v>101-1100-009</v>
      </c>
      <c r="B11307" s="8" t="s">
        <v>10887</v>
      </c>
    </row>
    <row r="11308" spans="1:2" x14ac:dyDescent="0.3">
      <c r="A11308" s="9" t="str">
        <f>HYPERLINK("http://www.eatonpowersource.com/products/configure/motors/details/101-1121-009","101-1121-009")</f>
        <v>101-1121-009</v>
      </c>
      <c r="B11308" s="10" t="s">
        <v>10888</v>
      </c>
    </row>
    <row r="11309" spans="1:2" x14ac:dyDescent="0.3">
      <c r="A11309" s="7" t="str">
        <f>HYPERLINK("http://www.eatonpowersource.com/products/configure/motors/details/101-1123-009","101-1123-009")</f>
        <v>101-1123-009</v>
      </c>
      <c r="B11309" s="8" t="s">
        <v>10889</v>
      </c>
    </row>
    <row r="11310" spans="1:2" x14ac:dyDescent="0.3">
      <c r="A11310" s="9" t="str">
        <f>HYPERLINK("http://www.eatonpowersource.com/products/configure/motors/details/101-1129-009","101-1129-009")</f>
        <v>101-1129-009</v>
      </c>
      <c r="B11310" s="10" t="s">
        <v>10890</v>
      </c>
    </row>
    <row r="11311" spans="1:2" x14ac:dyDescent="0.3">
      <c r="A11311" s="7" t="str">
        <f>HYPERLINK("http://www.eatonpowersource.com/products/configure/motors/details/101-1130-009","101-1130-009")</f>
        <v>101-1130-009</v>
      </c>
      <c r="B11311" s="8" t="s">
        <v>10891</v>
      </c>
    </row>
    <row r="11312" spans="1:2" x14ac:dyDescent="0.3">
      <c r="A11312" s="9" t="str">
        <f>HYPERLINK("http://www.eatonpowersource.com/products/configure/motors/details/101-1179-009","101-1179-009")</f>
        <v>101-1179-009</v>
      </c>
      <c r="B11312" s="10" t="s">
        <v>10892</v>
      </c>
    </row>
    <row r="11313" spans="1:2" x14ac:dyDescent="0.3">
      <c r="A11313" s="7" t="str">
        <f>HYPERLINK("http://www.eatonpowersource.com/products/configure/motors/details/101-1195-009","101-1195-009")</f>
        <v>101-1195-009</v>
      </c>
      <c r="B11313" s="8" t="s">
        <v>10893</v>
      </c>
    </row>
    <row r="11314" spans="1:2" x14ac:dyDescent="0.3">
      <c r="A11314" s="9" t="str">
        <f>HYPERLINK("http://www.eatonpowersource.com/products/configure/motors/details/101-1199-009","101-1199-009")</f>
        <v>101-1199-009</v>
      </c>
      <c r="B11314" s="10" t="s">
        <v>10894</v>
      </c>
    </row>
    <row r="11315" spans="1:2" x14ac:dyDescent="0.3">
      <c r="A11315" s="7" t="str">
        <f>HYPERLINK("http://www.eatonpowersource.com/products/configure/motors/details/101-1201-009","101-1201-009")</f>
        <v>101-1201-009</v>
      </c>
      <c r="B11315" s="8" t="s">
        <v>10895</v>
      </c>
    </row>
    <row r="11316" spans="1:2" x14ac:dyDescent="0.3">
      <c r="A11316" s="9" t="str">
        <f>HYPERLINK("http://www.eatonpowersource.com/products/configure/motors/details/101-1265-009","101-1265-009")</f>
        <v>101-1265-009</v>
      </c>
      <c r="B11316" s="10" t="s">
        <v>10896</v>
      </c>
    </row>
    <row r="11317" spans="1:2" x14ac:dyDescent="0.3">
      <c r="A11317" s="7" t="str">
        <f>HYPERLINK("http://www.eatonpowersource.com/products/configure/motors/details/101-1281-009","101-1281-009")</f>
        <v>101-1281-009</v>
      </c>
      <c r="B11317" s="8" t="s">
        <v>10897</v>
      </c>
    </row>
    <row r="11318" spans="1:2" x14ac:dyDescent="0.3">
      <c r="A11318" s="9" t="str">
        <f>HYPERLINK("http://www.eatonpowersource.com/products/configure/motors/details/101-1282-009","101-1282-009")</f>
        <v>101-1282-009</v>
      </c>
      <c r="B11318" s="10" t="s">
        <v>10898</v>
      </c>
    </row>
    <row r="11319" spans="1:2" x14ac:dyDescent="0.3">
      <c r="A11319" s="7" t="str">
        <f>HYPERLINK("http://www.eatonpowersource.com/products/configure/motors/details/101-1283-009","101-1283-009")</f>
        <v>101-1283-009</v>
      </c>
      <c r="B11319" s="8" t="s">
        <v>10899</v>
      </c>
    </row>
    <row r="11320" spans="1:2" x14ac:dyDescent="0.3">
      <c r="A11320" s="9" t="str">
        <f>HYPERLINK("http://www.eatonpowersource.com/products/configure/motors/details/101-1289-009","101-1289-009")</f>
        <v>101-1289-009</v>
      </c>
      <c r="B11320" s="10" t="s">
        <v>10900</v>
      </c>
    </row>
    <row r="11321" spans="1:2" x14ac:dyDescent="0.3">
      <c r="A11321" s="7" t="str">
        <f>HYPERLINK("http://www.eatonpowersource.com/products/configure/motors/details/101-1291-009","101-1291-009")</f>
        <v>101-1291-009</v>
      </c>
      <c r="B11321" s="8" t="s">
        <v>10901</v>
      </c>
    </row>
    <row r="11322" spans="1:2" x14ac:dyDescent="0.3">
      <c r="A11322" s="9" t="str">
        <f>HYPERLINK("http://www.eatonpowersource.com/products/configure/motors/details/101-1293-009","101-1293-009")</f>
        <v>101-1293-009</v>
      </c>
      <c r="B11322" s="10" t="s">
        <v>10902</v>
      </c>
    </row>
    <row r="11323" spans="1:2" x14ac:dyDescent="0.3">
      <c r="A11323" s="7" t="str">
        <f>HYPERLINK("http://www.eatonpowersource.com/products/configure/motors/details/101-1296-009","101-1296-009")</f>
        <v>101-1296-009</v>
      </c>
      <c r="B11323" s="8" t="s">
        <v>10903</v>
      </c>
    </row>
    <row r="11324" spans="1:2" x14ac:dyDescent="0.3">
      <c r="A11324" s="9" t="str">
        <f>HYPERLINK("http://www.eatonpowersource.com/products/configure/motors/details/101-1298-009","101-1298-009")</f>
        <v>101-1298-009</v>
      </c>
      <c r="B11324" s="10" t="s">
        <v>10904</v>
      </c>
    </row>
    <row r="11325" spans="1:2" x14ac:dyDescent="0.3">
      <c r="A11325" s="7" t="str">
        <f>HYPERLINK("http://www.eatonpowersource.com/products/configure/motors/details/101-1306-009","101-1306-009")</f>
        <v>101-1306-009</v>
      </c>
      <c r="B11325" s="8" t="s">
        <v>10905</v>
      </c>
    </row>
    <row r="11326" spans="1:2" x14ac:dyDescent="0.3">
      <c r="A11326" s="9" t="str">
        <f>HYPERLINK("http://www.eatonpowersource.com/products/configure/motors/details/101-1311-009","101-1311-009")</f>
        <v>101-1311-009</v>
      </c>
      <c r="B11326" s="10" t="s">
        <v>10906</v>
      </c>
    </row>
    <row r="11327" spans="1:2" x14ac:dyDescent="0.3">
      <c r="A11327" s="7" t="str">
        <f>HYPERLINK("http://www.eatonpowersource.com/products/configure/motors/details/101-1314-009","101-1314-009")</f>
        <v>101-1314-009</v>
      </c>
      <c r="B11327" s="8" t="s">
        <v>10907</v>
      </c>
    </row>
    <row r="11328" spans="1:2" x14ac:dyDescent="0.3">
      <c r="A11328" s="9" t="str">
        <f>HYPERLINK("http://www.eatonpowersource.com/products/configure/motors/details/101-1315-009","101-1315-009")</f>
        <v>101-1315-009</v>
      </c>
      <c r="B11328" s="10" t="s">
        <v>10908</v>
      </c>
    </row>
    <row r="11329" spans="1:2" x14ac:dyDescent="0.3">
      <c r="A11329" s="7" t="str">
        <f>HYPERLINK("http://www.eatonpowersource.com/products/configure/motors/details/101-1326-009","101-1326-009")</f>
        <v>101-1326-009</v>
      </c>
      <c r="B11329" s="8" t="s">
        <v>10909</v>
      </c>
    </row>
    <row r="11330" spans="1:2" x14ac:dyDescent="0.3">
      <c r="A11330" s="9" t="str">
        <f>HYPERLINK("http://www.eatonpowersource.com/products/configure/motors/details/101-1332-009","101-1332-009")</f>
        <v>101-1332-009</v>
      </c>
      <c r="B11330" s="10" t="s">
        <v>10910</v>
      </c>
    </row>
    <row r="11331" spans="1:2" x14ac:dyDescent="0.3">
      <c r="A11331" s="7" t="str">
        <f>HYPERLINK("http://www.eatonpowersource.com/products/configure/motors/details/101-1362-009","101-1362-009")</f>
        <v>101-1362-009</v>
      </c>
      <c r="B11331" s="8" t="s">
        <v>10911</v>
      </c>
    </row>
    <row r="11332" spans="1:2" x14ac:dyDescent="0.3">
      <c r="A11332" s="9" t="str">
        <f>HYPERLINK("http://www.eatonpowersource.com/products/configure/motors/details/101-1449-009","101-1449-009")</f>
        <v>101-1449-009</v>
      </c>
      <c r="B11332" s="10" t="s">
        <v>10912</v>
      </c>
    </row>
    <row r="11333" spans="1:2" x14ac:dyDescent="0.3">
      <c r="A11333" s="7" t="str">
        <f>HYPERLINK("http://www.eatonpowersource.com/products/configure/motors/details/101-1459-009","101-1459-009")</f>
        <v>101-1459-009</v>
      </c>
      <c r="B11333" s="8" t="s">
        <v>10913</v>
      </c>
    </row>
    <row r="11334" spans="1:2" x14ac:dyDescent="0.3">
      <c r="A11334" s="9" t="str">
        <f>HYPERLINK("http://www.eatonpowersource.com/products/configure/motors/details/101-1471-009","101-1471-009")</f>
        <v>101-1471-009</v>
      </c>
      <c r="B11334" s="10" t="s">
        <v>10914</v>
      </c>
    </row>
    <row r="11335" spans="1:2" x14ac:dyDescent="0.3">
      <c r="A11335" s="7" t="str">
        <f>HYPERLINK("http://www.eatonpowersource.com/products/configure/motors/details/101-1472-009","101-1472-009")</f>
        <v>101-1472-009</v>
      </c>
      <c r="B11335" s="8" t="s">
        <v>10915</v>
      </c>
    </row>
    <row r="11336" spans="1:2" x14ac:dyDescent="0.3">
      <c r="A11336" s="9" t="str">
        <f>HYPERLINK("http://www.eatonpowersource.com/products/configure/motors/details/101-1478-009","101-1478-009")</f>
        <v>101-1478-009</v>
      </c>
      <c r="B11336" s="10" t="s">
        <v>10916</v>
      </c>
    </row>
    <row r="11337" spans="1:2" x14ac:dyDescent="0.3">
      <c r="A11337" s="7" t="str">
        <f>HYPERLINK("http://www.eatonpowersource.com/products/configure/motors/details/101-1497-009","101-1497-009")</f>
        <v>101-1497-009</v>
      </c>
      <c r="B11337" s="8" t="s">
        <v>10917</v>
      </c>
    </row>
    <row r="11338" spans="1:2" x14ac:dyDescent="0.3">
      <c r="A11338" s="9" t="str">
        <f>HYPERLINK("http://www.eatonpowersource.com/products/configure/motors/details/101-1501-009","101-1501-009")</f>
        <v>101-1501-009</v>
      </c>
      <c r="B11338" s="10" t="s">
        <v>10918</v>
      </c>
    </row>
    <row r="11339" spans="1:2" x14ac:dyDescent="0.3">
      <c r="A11339" s="7" t="str">
        <f>HYPERLINK("http://www.eatonpowersource.com/products/configure/motors/details/101-1512-009","101-1512-009")</f>
        <v>101-1512-009</v>
      </c>
      <c r="B11339" s="8" t="s">
        <v>10919</v>
      </c>
    </row>
    <row r="11340" spans="1:2" x14ac:dyDescent="0.3">
      <c r="A11340" s="9" t="str">
        <f>HYPERLINK("http://www.eatonpowersource.com/products/configure/motors/details/101-1516-009","101-1516-009")</f>
        <v>101-1516-009</v>
      </c>
      <c r="B11340" s="10" t="s">
        <v>10920</v>
      </c>
    </row>
    <row r="11341" spans="1:2" x14ac:dyDescent="0.3">
      <c r="A11341" s="7" t="str">
        <f>HYPERLINK("http://www.eatonpowersource.com/products/configure/motors/details/101-1523-009","101-1523-009")</f>
        <v>101-1523-009</v>
      </c>
      <c r="B11341" s="8" t="s">
        <v>10921</v>
      </c>
    </row>
    <row r="11342" spans="1:2" x14ac:dyDescent="0.3">
      <c r="A11342" s="9" t="str">
        <f>HYPERLINK("http://www.eatonpowersource.com/products/configure/motors/details/101-1542-009","101-1542-009")</f>
        <v>101-1542-009</v>
      </c>
      <c r="B11342" s="10" t="s">
        <v>10922</v>
      </c>
    </row>
    <row r="11343" spans="1:2" x14ac:dyDescent="0.3">
      <c r="A11343" s="7" t="str">
        <f>HYPERLINK("http://www.eatonpowersource.com/products/configure/motors/details/101-1551-009","101-1551-009")</f>
        <v>101-1551-009</v>
      </c>
      <c r="B11343" s="8" t="s">
        <v>10923</v>
      </c>
    </row>
    <row r="11344" spans="1:2" x14ac:dyDescent="0.3">
      <c r="A11344" s="9" t="str">
        <f>HYPERLINK("http://www.eatonpowersource.com/products/configure/motors/details/101-1554-009","101-1554-009")</f>
        <v>101-1554-009</v>
      </c>
      <c r="B11344" s="10" t="s">
        <v>10924</v>
      </c>
    </row>
    <row r="11345" spans="1:2" x14ac:dyDescent="0.3">
      <c r="A11345" s="7" t="str">
        <f>HYPERLINK("http://www.eatonpowersource.com/products/configure/motors/details/101-1560-009","101-1560-009")</f>
        <v>101-1560-009</v>
      </c>
      <c r="B11345" s="8" t="s">
        <v>10925</v>
      </c>
    </row>
    <row r="11346" spans="1:2" x14ac:dyDescent="0.3">
      <c r="A11346" s="9" t="str">
        <f>HYPERLINK("http://www.eatonpowersource.com/products/configure/motors/details/101-1574-009","101-1574-009")</f>
        <v>101-1574-009</v>
      </c>
      <c r="B11346" s="10" t="s">
        <v>10926</v>
      </c>
    </row>
    <row r="11347" spans="1:2" x14ac:dyDescent="0.3">
      <c r="A11347" s="7" t="str">
        <f>HYPERLINK("http://www.eatonpowersource.com/products/configure/motors/details/101-1580-009","101-1580-009")</f>
        <v>101-1580-009</v>
      </c>
      <c r="B11347" s="8" t="s">
        <v>10927</v>
      </c>
    </row>
    <row r="11348" spans="1:2" x14ac:dyDescent="0.3">
      <c r="A11348" s="9" t="str">
        <f>HYPERLINK("http://www.eatonpowersource.com/products/configure/motors/details/101-1581-009","101-1581-009")</f>
        <v>101-1581-009</v>
      </c>
      <c r="B11348" s="10" t="s">
        <v>10928</v>
      </c>
    </row>
    <row r="11349" spans="1:2" x14ac:dyDescent="0.3">
      <c r="A11349" s="7" t="str">
        <f>HYPERLINK("http://www.eatonpowersource.com/products/configure/motors/details/101-1582-009","101-1582-009")</f>
        <v>101-1582-009</v>
      </c>
      <c r="B11349" s="8" t="s">
        <v>10929</v>
      </c>
    </row>
    <row r="11350" spans="1:2" x14ac:dyDescent="0.3">
      <c r="A11350" s="9" t="str">
        <f>HYPERLINK("http://www.eatonpowersource.com/products/configure/motors/details/101-1584-009","101-1584-009")</f>
        <v>101-1584-009</v>
      </c>
      <c r="B11350" s="10" t="s">
        <v>10930</v>
      </c>
    </row>
    <row r="11351" spans="1:2" x14ac:dyDescent="0.3">
      <c r="A11351" s="7" t="str">
        <f>HYPERLINK("http://www.eatonpowersource.com/products/configure/motors/details/101-1586-009","101-1586-009")</f>
        <v>101-1586-009</v>
      </c>
      <c r="B11351" s="8" t="s">
        <v>10931</v>
      </c>
    </row>
    <row r="11352" spans="1:2" x14ac:dyDescent="0.3">
      <c r="A11352" s="9" t="str">
        <f>HYPERLINK("http://www.eatonpowersource.com/products/configure/motors/details/101-1596-009","101-1596-009")</f>
        <v>101-1596-009</v>
      </c>
      <c r="B11352" s="10" t="s">
        <v>10932</v>
      </c>
    </row>
    <row r="11353" spans="1:2" x14ac:dyDescent="0.3">
      <c r="A11353" s="7" t="str">
        <f>HYPERLINK("http://www.eatonpowersource.com/products/configure/motors/details/101-1597-009","101-1597-009")</f>
        <v>101-1597-009</v>
      </c>
      <c r="B11353" s="8" t="s">
        <v>10933</v>
      </c>
    </row>
    <row r="11354" spans="1:2" x14ac:dyDescent="0.3">
      <c r="A11354" s="9" t="str">
        <f>HYPERLINK("http://www.eatonpowersource.com/products/configure/motors/details/101-1598-009","101-1598-009")</f>
        <v>101-1598-009</v>
      </c>
      <c r="B11354" s="10" t="s">
        <v>10934</v>
      </c>
    </row>
    <row r="11355" spans="1:2" x14ac:dyDescent="0.3">
      <c r="A11355" s="7" t="str">
        <f>HYPERLINK("http://www.eatonpowersource.com/products/configure/motors/details/101-1599-009","101-1599-009")</f>
        <v>101-1599-009</v>
      </c>
      <c r="B11355" s="8" t="s">
        <v>10935</v>
      </c>
    </row>
    <row r="11356" spans="1:2" x14ac:dyDescent="0.3">
      <c r="A11356" s="9" t="str">
        <f>HYPERLINK("http://www.eatonpowersource.com/products/configure/motors/details/101-1600-009","101-1600-009")</f>
        <v>101-1600-009</v>
      </c>
      <c r="B11356" s="10" t="s">
        <v>10936</v>
      </c>
    </row>
    <row r="11357" spans="1:2" x14ac:dyDescent="0.3">
      <c r="A11357" s="7" t="str">
        <f>HYPERLINK("http://www.eatonpowersource.com/products/configure/motors/details/101-1601-009","101-1601-009")</f>
        <v>101-1601-009</v>
      </c>
      <c r="B11357" s="8" t="s">
        <v>10937</v>
      </c>
    </row>
    <row r="11358" spans="1:2" x14ac:dyDescent="0.3">
      <c r="A11358" s="9" t="str">
        <f>HYPERLINK("http://www.eatonpowersource.com/products/configure/motors/details/101-1602-009","101-1602-009")</f>
        <v>101-1602-009</v>
      </c>
      <c r="B11358" s="10" t="s">
        <v>10938</v>
      </c>
    </row>
    <row r="11359" spans="1:2" x14ac:dyDescent="0.3">
      <c r="A11359" s="7" t="str">
        <f>HYPERLINK("http://www.eatonpowersource.com/products/configure/motors/details/101-1612-009","101-1612-009")</f>
        <v>101-1612-009</v>
      </c>
      <c r="B11359" s="8" t="s">
        <v>10939</v>
      </c>
    </row>
    <row r="11360" spans="1:2" x14ac:dyDescent="0.3">
      <c r="A11360" s="9" t="str">
        <f>HYPERLINK("http://www.eatonpowersource.com/products/configure/motors/details/101-1628-009","101-1628-009")</f>
        <v>101-1628-009</v>
      </c>
      <c r="B11360" s="10" t="s">
        <v>10940</v>
      </c>
    </row>
    <row r="11361" spans="1:2" x14ac:dyDescent="0.3">
      <c r="A11361" s="7" t="str">
        <f>HYPERLINK("http://www.eatonpowersource.com/products/configure/motors/details/101-1631-009","101-1631-009")</f>
        <v>101-1631-009</v>
      </c>
      <c r="B11361" s="8" t="s">
        <v>10941</v>
      </c>
    </row>
    <row r="11362" spans="1:2" x14ac:dyDescent="0.3">
      <c r="A11362" s="9" t="str">
        <f>HYPERLINK("http://www.eatonpowersource.com/products/configure/motors/details/101-1632-009","101-1632-009")</f>
        <v>101-1632-009</v>
      </c>
      <c r="B11362" s="10" t="s">
        <v>10942</v>
      </c>
    </row>
    <row r="11363" spans="1:2" x14ac:dyDescent="0.3">
      <c r="A11363" s="7" t="str">
        <f>HYPERLINK("http://www.eatonpowersource.com/products/configure/motors/details/101-1633-009","101-1633-009")</f>
        <v>101-1633-009</v>
      </c>
      <c r="B11363" s="8" t="s">
        <v>10943</v>
      </c>
    </row>
    <row r="11364" spans="1:2" x14ac:dyDescent="0.3">
      <c r="A11364" s="9" t="str">
        <f>HYPERLINK("http://www.eatonpowersource.com/products/configure/motors/details/101-1634-009","101-1634-009")</f>
        <v>101-1634-009</v>
      </c>
      <c r="B11364" s="10" t="s">
        <v>10944</v>
      </c>
    </row>
    <row r="11365" spans="1:2" x14ac:dyDescent="0.3">
      <c r="A11365" s="7" t="str">
        <f>HYPERLINK("http://www.eatonpowersource.com/products/configure/motors/details/101-1635-009","101-1635-009")</f>
        <v>101-1635-009</v>
      </c>
      <c r="B11365" s="8" t="s">
        <v>10945</v>
      </c>
    </row>
    <row r="11366" spans="1:2" x14ac:dyDescent="0.3">
      <c r="A11366" s="9" t="str">
        <f>HYPERLINK("http://www.eatonpowersource.com/products/configure/motors/details/101-1637-009","101-1637-009")</f>
        <v>101-1637-009</v>
      </c>
      <c r="B11366" s="10" t="s">
        <v>10946</v>
      </c>
    </row>
    <row r="11367" spans="1:2" x14ac:dyDescent="0.3">
      <c r="A11367" s="7" t="str">
        <f>HYPERLINK("http://www.eatonpowersource.com/products/configure/motors/details/101-1644-009","101-1644-009")</f>
        <v>101-1644-009</v>
      </c>
      <c r="B11367" s="8" t="s">
        <v>10947</v>
      </c>
    </row>
    <row r="11368" spans="1:2" x14ac:dyDescent="0.3">
      <c r="A11368" s="9" t="str">
        <f>HYPERLINK("http://www.eatonpowersource.com/products/configure/motors/details/101-1645-009","101-1645-009")</f>
        <v>101-1645-009</v>
      </c>
      <c r="B11368" s="10" t="s">
        <v>10948</v>
      </c>
    </row>
    <row r="11369" spans="1:2" x14ac:dyDescent="0.3">
      <c r="A11369" s="7" t="str">
        <f>HYPERLINK("http://www.eatonpowersource.com/products/configure/motors/details/101-1646-009","101-1646-009")</f>
        <v>101-1646-009</v>
      </c>
      <c r="B11369" s="8" t="s">
        <v>10949</v>
      </c>
    </row>
    <row r="11370" spans="1:2" x14ac:dyDescent="0.3">
      <c r="A11370" s="9" t="str">
        <f>HYPERLINK("http://www.eatonpowersource.com/products/configure/motors/details/101-1647-009","101-1647-009")</f>
        <v>101-1647-009</v>
      </c>
      <c r="B11370" s="10" t="s">
        <v>10950</v>
      </c>
    </row>
    <row r="11371" spans="1:2" x14ac:dyDescent="0.3">
      <c r="A11371" s="7" t="str">
        <f>HYPERLINK("http://www.eatonpowersource.com/products/configure/motors/details/101-1653-009","101-1653-009")</f>
        <v>101-1653-009</v>
      </c>
      <c r="B11371" s="8" t="s">
        <v>10951</v>
      </c>
    </row>
    <row r="11372" spans="1:2" x14ac:dyDescent="0.3">
      <c r="A11372" s="9" t="str">
        <f>HYPERLINK("http://www.eatonpowersource.com/products/configure/motors/details/101-1656-009","101-1656-009")</f>
        <v>101-1656-009</v>
      </c>
      <c r="B11372" s="10" t="s">
        <v>10952</v>
      </c>
    </row>
    <row r="11373" spans="1:2" x14ac:dyDescent="0.3">
      <c r="A11373" s="7" t="str">
        <f>HYPERLINK("http://www.eatonpowersource.com/products/configure/motors/details/101-1658-009","101-1658-009")</f>
        <v>101-1658-009</v>
      </c>
      <c r="B11373" s="8" t="s">
        <v>10953</v>
      </c>
    </row>
    <row r="11374" spans="1:2" x14ac:dyDescent="0.3">
      <c r="A11374" s="9" t="str">
        <f>HYPERLINK("http://www.eatonpowersource.com/products/configure/motors/details/101-1659-009","101-1659-009")</f>
        <v>101-1659-009</v>
      </c>
      <c r="B11374" s="10" t="s">
        <v>10954</v>
      </c>
    </row>
    <row r="11375" spans="1:2" x14ac:dyDescent="0.3">
      <c r="A11375" s="7" t="str">
        <f>HYPERLINK("http://www.eatonpowersource.com/products/configure/motors/details/101-1660-009","101-1660-009")</f>
        <v>101-1660-009</v>
      </c>
      <c r="B11375" s="8" t="s">
        <v>10955</v>
      </c>
    </row>
    <row r="11376" spans="1:2" x14ac:dyDescent="0.3">
      <c r="A11376" s="9" t="str">
        <f>HYPERLINK("http://www.eatonpowersource.com/products/configure/motors/details/101-1661-009","101-1661-009")</f>
        <v>101-1661-009</v>
      </c>
      <c r="B11376" s="10" t="s">
        <v>10956</v>
      </c>
    </row>
    <row r="11377" spans="1:2" x14ac:dyDescent="0.3">
      <c r="A11377" s="7" t="str">
        <f>HYPERLINK("http://www.eatonpowersource.com/products/configure/motors/details/101-1662-009","101-1662-009")</f>
        <v>101-1662-009</v>
      </c>
      <c r="B11377" s="8" t="s">
        <v>10957</v>
      </c>
    </row>
    <row r="11378" spans="1:2" x14ac:dyDescent="0.3">
      <c r="A11378" s="9" t="str">
        <f>HYPERLINK("http://www.eatonpowersource.com/products/configure/motors/details/101-1663-009","101-1663-009")</f>
        <v>101-1663-009</v>
      </c>
      <c r="B11378" s="10" t="s">
        <v>10958</v>
      </c>
    </row>
    <row r="11379" spans="1:2" x14ac:dyDescent="0.3">
      <c r="A11379" s="7" t="str">
        <f>HYPERLINK("http://www.eatonpowersource.com/products/configure/motors/details/101-1664-009","101-1664-009")</f>
        <v>101-1664-009</v>
      </c>
      <c r="B11379" s="8" t="s">
        <v>10959</v>
      </c>
    </row>
    <row r="11380" spans="1:2" x14ac:dyDescent="0.3">
      <c r="A11380" s="9" t="str">
        <f>HYPERLINK("http://www.eatonpowersource.com/products/configure/motors/details/101-1665-009","101-1665-009")</f>
        <v>101-1665-009</v>
      </c>
      <c r="B11380" s="10" t="s">
        <v>10960</v>
      </c>
    </row>
    <row r="11381" spans="1:2" x14ac:dyDescent="0.3">
      <c r="A11381" s="7" t="str">
        <f>HYPERLINK("http://www.eatonpowersource.com/products/configure/motors/details/101-1666-009","101-1666-009")</f>
        <v>101-1666-009</v>
      </c>
      <c r="B11381" s="8" t="s">
        <v>10961</v>
      </c>
    </row>
    <row r="11382" spans="1:2" x14ac:dyDescent="0.3">
      <c r="A11382" s="9" t="str">
        <f>HYPERLINK("http://www.eatonpowersource.com/products/configure/motors/details/101-1667-009","101-1667-009")</f>
        <v>101-1667-009</v>
      </c>
      <c r="B11382" s="10" t="s">
        <v>10962</v>
      </c>
    </row>
    <row r="11383" spans="1:2" x14ac:dyDescent="0.3">
      <c r="A11383" s="7" t="str">
        <f>HYPERLINK("http://www.eatonpowersource.com/products/configure/motors/details/101-1668-009","101-1668-009")</f>
        <v>101-1668-009</v>
      </c>
      <c r="B11383" s="8" t="s">
        <v>10963</v>
      </c>
    </row>
    <row r="11384" spans="1:2" x14ac:dyDescent="0.3">
      <c r="A11384" s="9" t="str">
        <f>HYPERLINK("http://www.eatonpowersource.com/products/configure/motors/details/101-1672-009","101-1672-009")</f>
        <v>101-1672-009</v>
      </c>
      <c r="B11384" s="10" t="s">
        <v>10964</v>
      </c>
    </row>
    <row r="11385" spans="1:2" x14ac:dyDescent="0.3">
      <c r="A11385" s="7" t="str">
        <f>HYPERLINK("http://www.eatonpowersource.com/products/configure/motors/details/101-1681-009","101-1681-009")</f>
        <v>101-1681-009</v>
      </c>
      <c r="B11385" s="8" t="s">
        <v>10965</v>
      </c>
    </row>
    <row r="11386" spans="1:2" x14ac:dyDescent="0.3">
      <c r="A11386" s="9" t="str">
        <f>HYPERLINK("http://www.eatonpowersource.com/products/configure/motors/details/101-1695-009","101-1695-009")</f>
        <v>101-1695-009</v>
      </c>
      <c r="B11386" s="10" t="s">
        <v>10966</v>
      </c>
    </row>
    <row r="11387" spans="1:2" x14ac:dyDescent="0.3">
      <c r="A11387" s="7" t="str">
        <f>HYPERLINK("http://www.eatonpowersource.com/products/configure/motors/details/101-1699-009","101-1699-009")</f>
        <v>101-1699-009</v>
      </c>
      <c r="B11387" s="8" t="s">
        <v>10967</v>
      </c>
    </row>
    <row r="11388" spans="1:2" x14ac:dyDescent="0.3">
      <c r="A11388" s="9" t="str">
        <f>HYPERLINK("http://www.eatonpowersource.com/products/configure/motors/details/101-1700-009","101-1700-009")</f>
        <v>101-1700-009</v>
      </c>
      <c r="B11388" s="10" t="s">
        <v>10968</v>
      </c>
    </row>
    <row r="11389" spans="1:2" x14ac:dyDescent="0.3">
      <c r="A11389" s="7" t="str">
        <f>HYPERLINK("http://www.eatonpowersource.com/products/configure/motors/details/101-1701-009","101-1701-009")</f>
        <v>101-1701-009</v>
      </c>
      <c r="B11389" s="8" t="s">
        <v>10969</v>
      </c>
    </row>
    <row r="11390" spans="1:2" x14ac:dyDescent="0.3">
      <c r="A11390" s="9" t="str">
        <f>HYPERLINK("http://www.eatonpowersource.com/products/configure/motors/details/101-1702-009","101-1702-009")</f>
        <v>101-1702-009</v>
      </c>
      <c r="B11390" s="10" t="s">
        <v>10970</v>
      </c>
    </row>
    <row r="11391" spans="1:2" x14ac:dyDescent="0.3">
      <c r="A11391" s="7" t="str">
        <f>HYPERLINK("http://www.eatonpowersource.com/products/configure/motors/details/101-1703-009","101-1703-009")</f>
        <v>101-1703-009</v>
      </c>
      <c r="B11391" s="8" t="s">
        <v>10971</v>
      </c>
    </row>
    <row r="11392" spans="1:2" x14ac:dyDescent="0.3">
      <c r="A11392" s="9" t="str">
        <f>HYPERLINK("http://www.eatonpowersource.com/products/configure/motors/details/101-1704-009","101-1704-009")</f>
        <v>101-1704-009</v>
      </c>
      <c r="B11392" s="10" t="s">
        <v>10972</v>
      </c>
    </row>
    <row r="11393" spans="1:2" x14ac:dyDescent="0.3">
      <c r="A11393" s="7" t="str">
        <f>HYPERLINK("http://www.eatonpowersource.com/products/configure/motors/details/101-1705-009","101-1705-009")</f>
        <v>101-1705-009</v>
      </c>
      <c r="B11393" s="8" t="s">
        <v>10973</v>
      </c>
    </row>
    <row r="11394" spans="1:2" x14ac:dyDescent="0.3">
      <c r="A11394" s="9" t="str">
        <f>HYPERLINK("http://www.eatonpowersource.com/products/configure/motors/details/101-1706-009","101-1706-009")</f>
        <v>101-1706-009</v>
      </c>
      <c r="B11394" s="10" t="s">
        <v>10974</v>
      </c>
    </row>
    <row r="11395" spans="1:2" x14ac:dyDescent="0.3">
      <c r="A11395" s="7" t="str">
        <f>HYPERLINK("http://www.eatonpowersource.com/products/configure/motors/details/101-1707-009","101-1707-009")</f>
        <v>101-1707-009</v>
      </c>
      <c r="B11395" s="8" t="s">
        <v>10975</v>
      </c>
    </row>
    <row r="11396" spans="1:2" x14ac:dyDescent="0.3">
      <c r="A11396" s="9" t="str">
        <f>HYPERLINK("http://www.eatonpowersource.com/products/configure/motors/details/101-1709-009","101-1709-009")</f>
        <v>101-1709-009</v>
      </c>
      <c r="B11396" s="10" t="s">
        <v>10976</v>
      </c>
    </row>
    <row r="11397" spans="1:2" x14ac:dyDescent="0.3">
      <c r="A11397" s="7" t="str">
        <f>HYPERLINK("http://www.eatonpowersource.com/products/configure/motors/details/101-1716-009","101-1716-009")</f>
        <v>101-1716-009</v>
      </c>
      <c r="B11397" s="8" t="s">
        <v>10977</v>
      </c>
    </row>
    <row r="11398" spans="1:2" x14ac:dyDescent="0.3">
      <c r="A11398" s="9" t="str">
        <f>HYPERLINK("http://www.eatonpowersource.com/products/configure/motors/details/101-1719-009","101-1719-009")</f>
        <v>101-1719-009</v>
      </c>
      <c r="B11398" s="10" t="s">
        <v>10978</v>
      </c>
    </row>
    <row r="11399" spans="1:2" x14ac:dyDescent="0.3">
      <c r="A11399" s="7" t="str">
        <f>HYPERLINK("http://www.eatonpowersource.com/products/configure/motors/details/101-1720-009","101-1720-009")</f>
        <v>101-1720-009</v>
      </c>
      <c r="B11399" s="8" t="s">
        <v>10979</v>
      </c>
    </row>
    <row r="11400" spans="1:2" x14ac:dyDescent="0.3">
      <c r="A11400" s="9" t="str">
        <f>HYPERLINK("http://www.eatonpowersource.com/products/configure/motors/details/101-1721-009","101-1721-009")</f>
        <v>101-1721-009</v>
      </c>
      <c r="B11400" s="10" t="s">
        <v>10980</v>
      </c>
    </row>
    <row r="11401" spans="1:2" x14ac:dyDescent="0.3">
      <c r="A11401" s="7" t="str">
        <f>HYPERLINK("http://www.eatonpowersource.com/products/configure/motors/details/101-1726-009","101-1726-009")</f>
        <v>101-1726-009</v>
      </c>
      <c r="B11401" s="8" t="s">
        <v>10981</v>
      </c>
    </row>
    <row r="11402" spans="1:2" x14ac:dyDescent="0.3">
      <c r="A11402" s="9" t="str">
        <f>HYPERLINK("http://www.eatonpowersource.com/products/configure/motors/details/101-1728-009","101-1728-009")</f>
        <v>101-1728-009</v>
      </c>
      <c r="B11402" s="10" t="s">
        <v>10982</v>
      </c>
    </row>
    <row r="11403" spans="1:2" x14ac:dyDescent="0.3">
      <c r="A11403" s="7" t="str">
        <f>HYPERLINK("http://www.eatonpowersource.com/products/configure/motors/details/101-1732-009","101-1732-009")</f>
        <v>101-1732-009</v>
      </c>
      <c r="B11403" s="8" t="s">
        <v>10983</v>
      </c>
    </row>
    <row r="11404" spans="1:2" x14ac:dyDescent="0.3">
      <c r="A11404" s="9" t="str">
        <f>HYPERLINK("http://www.eatonpowersource.com/products/configure/motors/details/101-1741-009","101-1741-009")</f>
        <v>101-1741-009</v>
      </c>
      <c r="B11404" s="10" t="s">
        <v>10984</v>
      </c>
    </row>
    <row r="11405" spans="1:2" x14ac:dyDescent="0.3">
      <c r="A11405" s="7" t="str">
        <f>HYPERLINK("http://www.eatonpowersource.com/products/configure/motors/details/101-1743-009","101-1743-009")</f>
        <v>101-1743-009</v>
      </c>
      <c r="B11405" s="8" t="s">
        <v>10985</v>
      </c>
    </row>
    <row r="11406" spans="1:2" x14ac:dyDescent="0.3">
      <c r="A11406" s="9" t="str">
        <f>HYPERLINK("http://www.eatonpowersource.com/products/configure/motors/details/101-1745-009","101-1745-009")</f>
        <v>101-1745-009</v>
      </c>
      <c r="B11406" s="10" t="s">
        <v>10986</v>
      </c>
    </row>
    <row r="11407" spans="1:2" x14ac:dyDescent="0.3">
      <c r="A11407" s="7" t="str">
        <f>HYPERLINK("http://www.eatonpowersource.com/products/configure/motors/details/101-1746-009","101-1746-009")</f>
        <v>101-1746-009</v>
      </c>
      <c r="B11407" s="8" t="s">
        <v>10987</v>
      </c>
    </row>
    <row r="11408" spans="1:2" x14ac:dyDescent="0.3">
      <c r="A11408" s="9" t="str">
        <f>HYPERLINK("http://www.eatonpowersource.com/products/configure/motors/details/101-1747-009","101-1747-009")</f>
        <v>101-1747-009</v>
      </c>
      <c r="B11408" s="10" t="s">
        <v>10988</v>
      </c>
    </row>
    <row r="11409" spans="1:2" x14ac:dyDescent="0.3">
      <c r="A11409" s="7" t="str">
        <f>HYPERLINK("http://www.eatonpowersource.com/products/configure/motors/details/101-1748-009","101-1748-009")</f>
        <v>101-1748-009</v>
      </c>
      <c r="B11409" s="8" t="s">
        <v>10989</v>
      </c>
    </row>
    <row r="11410" spans="1:2" x14ac:dyDescent="0.3">
      <c r="A11410" s="9" t="str">
        <f>HYPERLINK("http://www.eatonpowersource.com/products/configure/motors/details/101-1749-009","101-1749-009")</f>
        <v>101-1749-009</v>
      </c>
      <c r="B11410" s="10" t="s">
        <v>10990</v>
      </c>
    </row>
    <row r="11411" spans="1:2" x14ac:dyDescent="0.3">
      <c r="A11411" s="7" t="str">
        <f>HYPERLINK("http://www.eatonpowersource.com/products/configure/motors/details/101-1750-009","101-1750-009")</f>
        <v>101-1750-009</v>
      </c>
      <c r="B11411" s="8" t="s">
        <v>10991</v>
      </c>
    </row>
    <row r="11412" spans="1:2" x14ac:dyDescent="0.3">
      <c r="A11412" s="9" t="str">
        <f>HYPERLINK("http://www.eatonpowersource.com/products/configure/motors/details/101-1751-009","101-1751-009")</f>
        <v>101-1751-009</v>
      </c>
      <c r="B11412" s="10" t="s">
        <v>10992</v>
      </c>
    </row>
    <row r="11413" spans="1:2" x14ac:dyDescent="0.3">
      <c r="A11413" s="7" t="str">
        <f>HYPERLINK("http://www.eatonpowersource.com/products/configure/motors/details/101-1753-009","101-1753-009")</f>
        <v>101-1753-009</v>
      </c>
      <c r="B11413" s="8" t="s">
        <v>10993</v>
      </c>
    </row>
    <row r="11414" spans="1:2" x14ac:dyDescent="0.3">
      <c r="A11414" s="9" t="str">
        <f>HYPERLINK("http://www.eatonpowersource.com/products/configure/motors/details/101-1754-009","101-1754-009")</f>
        <v>101-1754-009</v>
      </c>
      <c r="B11414" s="10" t="s">
        <v>10994</v>
      </c>
    </row>
    <row r="11415" spans="1:2" x14ac:dyDescent="0.3">
      <c r="A11415" s="7" t="str">
        <f>HYPERLINK("http://www.eatonpowersource.com/products/configure/motors/details/101-1755-009","101-1755-009")</f>
        <v>101-1755-009</v>
      </c>
      <c r="B11415" s="8" t="s">
        <v>10995</v>
      </c>
    </row>
    <row r="11416" spans="1:2" x14ac:dyDescent="0.3">
      <c r="A11416" s="9" t="str">
        <f>HYPERLINK("http://www.eatonpowersource.com/products/configure/motors/details/101-1756-009","101-1756-009")</f>
        <v>101-1756-009</v>
      </c>
      <c r="B11416" s="10" t="s">
        <v>10996</v>
      </c>
    </row>
    <row r="11417" spans="1:2" x14ac:dyDescent="0.3">
      <c r="A11417" s="7" t="str">
        <f>HYPERLINK("http://www.eatonpowersource.com/products/configure/motors/details/101-1761-009","101-1761-009")</f>
        <v>101-1761-009</v>
      </c>
      <c r="B11417" s="8" t="s">
        <v>10997</v>
      </c>
    </row>
    <row r="11418" spans="1:2" x14ac:dyDescent="0.3">
      <c r="A11418" s="9" t="str">
        <f>HYPERLINK("http://www.eatonpowersource.com/products/configure/motors/details/101-1765-009","101-1765-009")</f>
        <v>101-1765-009</v>
      </c>
      <c r="B11418" s="10" t="s">
        <v>10998</v>
      </c>
    </row>
    <row r="11419" spans="1:2" x14ac:dyDescent="0.3">
      <c r="A11419" s="7" t="str">
        <f>HYPERLINK("http://www.eatonpowersource.com/products/configure/motors/details/101-1768-009","101-1768-009")</f>
        <v>101-1768-009</v>
      </c>
      <c r="B11419" s="8" t="s">
        <v>10999</v>
      </c>
    </row>
    <row r="11420" spans="1:2" x14ac:dyDescent="0.3">
      <c r="A11420" s="9" t="str">
        <f>HYPERLINK("http://www.eatonpowersource.com/products/configure/motors/details/101-1778-009","101-1778-009")</f>
        <v>101-1778-009</v>
      </c>
      <c r="B11420" s="10" t="s">
        <v>11000</v>
      </c>
    </row>
    <row r="11421" spans="1:2" x14ac:dyDescent="0.3">
      <c r="A11421" s="7" t="str">
        <f>HYPERLINK("http://www.eatonpowersource.com/products/configure/motors/details/101-1786-009","101-1786-009")</f>
        <v>101-1786-009</v>
      </c>
      <c r="B11421" s="8" t="s">
        <v>11001</v>
      </c>
    </row>
    <row r="11422" spans="1:2" x14ac:dyDescent="0.3">
      <c r="A11422" s="9" t="str">
        <f>HYPERLINK("http://www.eatonpowersource.com/products/configure/motors/details/101-1792-009","101-1792-009")</f>
        <v>101-1792-009</v>
      </c>
      <c r="B11422" s="10" t="s">
        <v>11002</v>
      </c>
    </row>
    <row r="11423" spans="1:2" x14ac:dyDescent="0.3">
      <c r="A11423" s="7" t="str">
        <f>HYPERLINK("http://www.eatonpowersource.com/products/configure/motors/details/101-1793-009","101-1793-009")</f>
        <v>101-1793-009</v>
      </c>
      <c r="B11423" s="8" t="s">
        <v>11003</v>
      </c>
    </row>
    <row r="11424" spans="1:2" x14ac:dyDescent="0.3">
      <c r="A11424" s="9" t="str">
        <f>HYPERLINK("http://www.eatonpowersource.com/products/configure/motors/details/101-1794-009","101-1794-009")</f>
        <v>101-1794-009</v>
      </c>
      <c r="B11424" s="10" t="s">
        <v>11004</v>
      </c>
    </row>
    <row r="11425" spans="1:2" x14ac:dyDescent="0.3">
      <c r="A11425" s="7" t="str">
        <f>HYPERLINK("http://www.eatonpowersource.com/products/configure/motors/details/101-1810-009","101-1810-009")</f>
        <v>101-1810-009</v>
      </c>
      <c r="B11425" s="8" t="s">
        <v>11005</v>
      </c>
    </row>
    <row r="11426" spans="1:2" x14ac:dyDescent="0.3">
      <c r="A11426" s="9" t="str">
        <f>HYPERLINK("http://www.eatonpowersource.com/products/configure/motors/details/101-1818-009","101-1818-009")</f>
        <v>101-1818-009</v>
      </c>
      <c r="B11426" s="10" t="s">
        <v>11006</v>
      </c>
    </row>
    <row r="11427" spans="1:2" x14ac:dyDescent="0.3">
      <c r="A11427" s="7" t="str">
        <f>HYPERLINK("http://www.eatonpowersource.com/products/configure/motors/details/101-1820-009","101-1820-009")</f>
        <v>101-1820-009</v>
      </c>
      <c r="B11427" s="8" t="s">
        <v>11007</v>
      </c>
    </row>
    <row r="11428" spans="1:2" x14ac:dyDescent="0.3">
      <c r="A11428" s="9" t="str">
        <f>HYPERLINK("http://www.eatonpowersource.com/products/configure/motors/details/101-1821-009","101-1821-009")</f>
        <v>101-1821-009</v>
      </c>
      <c r="B11428" s="10" t="s">
        <v>11008</v>
      </c>
    </row>
    <row r="11429" spans="1:2" x14ac:dyDescent="0.3">
      <c r="A11429" s="7" t="str">
        <f>HYPERLINK("http://www.eatonpowersource.com/products/configure/motors/details/101-1822-009","101-1822-009")</f>
        <v>101-1822-009</v>
      </c>
      <c r="B11429" s="8" t="s">
        <v>11009</v>
      </c>
    </row>
    <row r="11430" spans="1:2" x14ac:dyDescent="0.3">
      <c r="A11430" s="9" t="str">
        <f>HYPERLINK("http://www.eatonpowersource.com/products/configure/motors/details/101-1837-009","101-1837-009")</f>
        <v>101-1837-009</v>
      </c>
      <c r="B11430" s="10" t="s">
        <v>11010</v>
      </c>
    </row>
    <row r="11431" spans="1:2" x14ac:dyDescent="0.3">
      <c r="A11431" s="7" t="str">
        <f>HYPERLINK("http://www.eatonpowersource.com/products/configure/motors/details/101-1847-009","101-1847-009")</f>
        <v>101-1847-009</v>
      </c>
      <c r="B11431" s="8" t="s">
        <v>11011</v>
      </c>
    </row>
    <row r="11432" spans="1:2" x14ac:dyDescent="0.3">
      <c r="A11432" s="9" t="str">
        <f>HYPERLINK("http://www.eatonpowersource.com/products/configure/motors/details/101-1850-009","101-1850-009")</f>
        <v>101-1850-009</v>
      </c>
      <c r="B11432" s="10" t="s">
        <v>11012</v>
      </c>
    </row>
    <row r="11433" spans="1:2" x14ac:dyDescent="0.3">
      <c r="A11433" s="7" t="str">
        <f>HYPERLINK("http://www.eatonpowersource.com/products/configure/motors/details/101-1857-009","101-1857-009")</f>
        <v>101-1857-009</v>
      </c>
      <c r="B11433" s="8" t="s">
        <v>11013</v>
      </c>
    </row>
    <row r="11434" spans="1:2" x14ac:dyDescent="0.3">
      <c r="A11434" s="9" t="str">
        <f>HYPERLINK("http://www.eatonpowersource.com/products/configure/motors/details/101-1860-009","101-1860-009")</f>
        <v>101-1860-009</v>
      </c>
      <c r="B11434" s="10" t="s">
        <v>11014</v>
      </c>
    </row>
    <row r="11435" spans="1:2" x14ac:dyDescent="0.3">
      <c r="A11435" s="7" t="str">
        <f>HYPERLINK("http://www.eatonpowersource.com/products/configure/motors/details/101-1863-009","101-1863-009")</f>
        <v>101-1863-009</v>
      </c>
      <c r="B11435" s="8" t="s">
        <v>11015</v>
      </c>
    </row>
    <row r="11436" spans="1:2" x14ac:dyDescent="0.3">
      <c r="A11436" s="9" t="str">
        <f>HYPERLINK("http://www.eatonpowersource.com/products/configure/motors/details/101-1872-009","101-1872-009")</f>
        <v>101-1872-009</v>
      </c>
      <c r="B11436" s="10" t="s">
        <v>11016</v>
      </c>
    </row>
    <row r="11437" spans="1:2" x14ac:dyDescent="0.3">
      <c r="A11437" s="7" t="str">
        <f>HYPERLINK("http://www.eatonpowersource.com/products/configure/motors/details/101-2005-009","101-2005-009")</f>
        <v>101-2005-009</v>
      </c>
      <c r="B11437" s="8" t="s">
        <v>11017</v>
      </c>
    </row>
    <row r="11438" spans="1:2" x14ac:dyDescent="0.3">
      <c r="A11438" s="9" t="str">
        <f>HYPERLINK("http://www.eatonpowersource.com/products/configure/motors/details/101-2010-009","101-2010-009")</f>
        <v>101-2010-009</v>
      </c>
      <c r="B11438" s="10" t="s">
        <v>11018</v>
      </c>
    </row>
    <row r="11439" spans="1:2" x14ac:dyDescent="0.3">
      <c r="A11439" s="7" t="str">
        <f>HYPERLINK("http://www.eatonpowersource.com/products/configure/motors/details/101-2014-009","101-2014-009")</f>
        <v>101-2014-009</v>
      </c>
      <c r="B11439" s="8" t="s">
        <v>11019</v>
      </c>
    </row>
    <row r="11440" spans="1:2" x14ac:dyDescent="0.3">
      <c r="A11440" s="9" t="str">
        <f>HYPERLINK("http://www.eatonpowersource.com/products/configure/motors/details/101-2018-009","101-2018-009")</f>
        <v>101-2018-009</v>
      </c>
      <c r="B11440" s="10" t="s">
        <v>11020</v>
      </c>
    </row>
    <row r="11441" spans="1:2" x14ac:dyDescent="0.3">
      <c r="A11441" s="7" t="str">
        <f>HYPERLINK("http://www.eatonpowersource.com/products/configure/motors/details/101-2022-009","101-2022-009")</f>
        <v>101-2022-009</v>
      </c>
      <c r="B11441" s="8" t="s">
        <v>11021</v>
      </c>
    </row>
    <row r="11442" spans="1:2" x14ac:dyDescent="0.3">
      <c r="A11442" s="9" t="str">
        <f>HYPERLINK("http://www.eatonpowersource.com/products/configure/motors/details/101-2023-009","101-2023-009")</f>
        <v>101-2023-009</v>
      </c>
      <c r="B11442" s="10" t="s">
        <v>11022</v>
      </c>
    </row>
    <row r="11443" spans="1:2" x14ac:dyDescent="0.3">
      <c r="A11443" s="7" t="str">
        <f>HYPERLINK("http://www.eatonpowersource.com/products/configure/motors/details/101-2024-009","101-2024-009")</f>
        <v>101-2024-009</v>
      </c>
      <c r="B11443" s="8" t="s">
        <v>11023</v>
      </c>
    </row>
    <row r="11444" spans="1:2" x14ac:dyDescent="0.3">
      <c r="A11444" s="9" t="str">
        <f>HYPERLINK("http://www.eatonpowersource.com/products/configure/motors/details/101-2030-009","101-2030-009")</f>
        <v>101-2030-009</v>
      </c>
      <c r="B11444" s="10" t="s">
        <v>11024</v>
      </c>
    </row>
    <row r="11445" spans="1:2" x14ac:dyDescent="0.3">
      <c r="A11445" s="7" t="str">
        <f>HYPERLINK("http://www.eatonpowersource.com/products/configure/motors/details/101-2032-009","101-2032-009")</f>
        <v>101-2032-009</v>
      </c>
      <c r="B11445" s="8" t="s">
        <v>11025</v>
      </c>
    </row>
    <row r="11446" spans="1:2" x14ac:dyDescent="0.3">
      <c r="A11446" s="9" t="str">
        <f>HYPERLINK("http://www.eatonpowersource.com/products/configure/motors/details/101-2036-009","101-2036-009")</f>
        <v>101-2036-009</v>
      </c>
      <c r="B11446" s="10" t="s">
        <v>11026</v>
      </c>
    </row>
    <row r="11447" spans="1:2" x14ac:dyDescent="0.3">
      <c r="A11447" s="7" t="str">
        <f>HYPERLINK("http://www.eatonpowersource.com/products/configure/motors/details/101-2042-009","101-2042-009")</f>
        <v>101-2042-009</v>
      </c>
      <c r="B11447" s="8" t="s">
        <v>11027</v>
      </c>
    </row>
    <row r="11448" spans="1:2" x14ac:dyDescent="0.3">
      <c r="A11448" s="9" t="str">
        <f>HYPERLINK("http://www.eatonpowersource.com/products/configure/motors/details/101-2044-009","101-2044-009")</f>
        <v>101-2044-009</v>
      </c>
      <c r="B11448" s="10" t="s">
        <v>11028</v>
      </c>
    </row>
    <row r="11449" spans="1:2" x14ac:dyDescent="0.3">
      <c r="A11449" s="7" t="str">
        <f>HYPERLINK("http://www.eatonpowersource.com/products/configure/motors/details/101-2061-009","101-2061-009")</f>
        <v>101-2061-009</v>
      </c>
      <c r="B11449" s="8" t="s">
        <v>11029</v>
      </c>
    </row>
    <row r="11450" spans="1:2" x14ac:dyDescent="0.3">
      <c r="A11450" s="9" t="str">
        <f>HYPERLINK("http://www.eatonpowersource.com/products/configure/motors/details/101-2070-009","101-2070-009")</f>
        <v>101-2070-009</v>
      </c>
      <c r="B11450" s="10" t="s">
        <v>11030</v>
      </c>
    </row>
    <row r="11451" spans="1:2" x14ac:dyDescent="0.3">
      <c r="A11451" s="7" t="str">
        <f>HYPERLINK("http://www.eatonpowersource.com/products/configure/motors/details/101-2085-009","101-2085-009")</f>
        <v>101-2085-009</v>
      </c>
      <c r="B11451" s="8" t="s">
        <v>11031</v>
      </c>
    </row>
    <row r="11452" spans="1:2" x14ac:dyDescent="0.3">
      <c r="A11452" s="9" t="str">
        <f>HYPERLINK("http://www.eatonpowersource.com/products/configure/motors/details/101-2090-009","101-2090-009")</f>
        <v>101-2090-009</v>
      </c>
      <c r="B11452" s="10" t="s">
        <v>11032</v>
      </c>
    </row>
    <row r="11453" spans="1:2" x14ac:dyDescent="0.3">
      <c r="A11453" s="7" t="str">
        <f>HYPERLINK("http://www.eatonpowersource.com/products/configure/motors/details/101-2091-009","101-2091-009")</f>
        <v>101-2091-009</v>
      </c>
      <c r="B11453" s="8" t="s">
        <v>11033</v>
      </c>
    </row>
    <row r="11454" spans="1:2" x14ac:dyDescent="0.3">
      <c r="A11454" s="9" t="str">
        <f>HYPERLINK("http://www.eatonpowersource.com/products/configure/motors/details/101-2104-009","101-2104-009")</f>
        <v>101-2104-009</v>
      </c>
      <c r="B11454" s="10" t="s">
        <v>11034</v>
      </c>
    </row>
    <row r="11455" spans="1:2" x14ac:dyDescent="0.3">
      <c r="A11455" s="7" t="str">
        <f>HYPERLINK("http://www.eatonpowersource.com/products/configure/motors/details/101-2110-009","101-2110-009")</f>
        <v>101-2110-009</v>
      </c>
      <c r="B11455" s="8" t="s">
        <v>11035</v>
      </c>
    </row>
    <row r="11456" spans="1:2" x14ac:dyDescent="0.3">
      <c r="A11456" s="9" t="str">
        <f>HYPERLINK("http://www.eatonpowersource.com/products/configure/motors/details/101-2116-009","101-2116-009")</f>
        <v>101-2116-009</v>
      </c>
      <c r="B11456" s="10" t="s">
        <v>11036</v>
      </c>
    </row>
    <row r="11457" spans="1:2" x14ac:dyDescent="0.3">
      <c r="A11457" s="7" t="str">
        <f>HYPERLINK("http://www.eatonpowersource.com/products/configure/motors/details/101-2117-009","101-2117-009")</f>
        <v>101-2117-009</v>
      </c>
      <c r="B11457" s="8" t="s">
        <v>11037</v>
      </c>
    </row>
    <row r="11458" spans="1:2" x14ac:dyDescent="0.3">
      <c r="A11458" s="9" t="str">
        <f>HYPERLINK("http://www.eatonpowersource.com/products/configure/motors/details/101-2118-009","101-2118-009")</f>
        <v>101-2118-009</v>
      </c>
      <c r="B11458" s="10" t="s">
        <v>11038</v>
      </c>
    </row>
    <row r="11459" spans="1:2" x14ac:dyDescent="0.3">
      <c r="A11459" s="7" t="str">
        <f>HYPERLINK("http://www.eatonpowersource.com/products/configure/motors/details/101-2124-009","101-2124-009")</f>
        <v>101-2124-009</v>
      </c>
      <c r="B11459" s="8" t="s">
        <v>11039</v>
      </c>
    </row>
    <row r="11460" spans="1:2" x14ac:dyDescent="0.3">
      <c r="A11460" s="9" t="str">
        <f>HYPERLINK("http://www.eatonpowersource.com/products/configure/motors/details/101-2125-009","101-2125-009")</f>
        <v>101-2125-009</v>
      </c>
      <c r="B11460" s="10" t="s">
        <v>11040</v>
      </c>
    </row>
    <row r="11461" spans="1:2" x14ac:dyDescent="0.3">
      <c r="A11461" s="7" t="str">
        <f>HYPERLINK("http://www.eatonpowersource.com/products/configure/motors/details/101-2134-009","101-2134-009")</f>
        <v>101-2134-009</v>
      </c>
      <c r="B11461" s="8" t="s">
        <v>11041</v>
      </c>
    </row>
    <row r="11462" spans="1:2" x14ac:dyDescent="0.3">
      <c r="A11462" s="9" t="str">
        <f>HYPERLINK("http://www.eatonpowersource.com/products/configure/motors/details/101-2146-009","101-2146-009")</f>
        <v>101-2146-009</v>
      </c>
      <c r="B11462" s="10" t="s">
        <v>11042</v>
      </c>
    </row>
    <row r="11463" spans="1:2" x14ac:dyDescent="0.3">
      <c r="A11463" s="7" t="str">
        <f>HYPERLINK("http://www.eatonpowersource.com/products/configure/motors/details/101-2148-009","101-2148-009")</f>
        <v>101-2148-009</v>
      </c>
      <c r="B11463" s="8" t="s">
        <v>11043</v>
      </c>
    </row>
    <row r="11464" spans="1:2" x14ac:dyDescent="0.3">
      <c r="A11464" s="9" t="str">
        <f>HYPERLINK("http://www.eatonpowersource.com/products/configure/motors/details/101-2149-009","101-2149-009")</f>
        <v>101-2149-009</v>
      </c>
      <c r="B11464" s="10" t="s">
        <v>11044</v>
      </c>
    </row>
    <row r="11465" spans="1:2" x14ac:dyDescent="0.3">
      <c r="A11465" s="7" t="str">
        <f>HYPERLINK("http://www.eatonpowersource.com/products/configure/motors/details/101-2150-009","101-2150-009")</f>
        <v>101-2150-009</v>
      </c>
      <c r="B11465" s="8" t="s">
        <v>11045</v>
      </c>
    </row>
    <row r="11466" spans="1:2" x14ac:dyDescent="0.3">
      <c r="A11466" s="9" t="str">
        <f>HYPERLINK("http://www.eatonpowersource.com/products/configure/motors/details/101-2152-009","101-2152-009")</f>
        <v>101-2152-009</v>
      </c>
      <c r="B11466" s="10" t="s">
        <v>11046</v>
      </c>
    </row>
    <row r="11467" spans="1:2" x14ac:dyDescent="0.3">
      <c r="A11467" s="7" t="str">
        <f>HYPERLINK("http://www.eatonpowersource.com/products/configure/motors/details/101-2155-009","101-2155-009")</f>
        <v>101-2155-009</v>
      </c>
      <c r="B11467" s="8" t="s">
        <v>11047</v>
      </c>
    </row>
    <row r="11468" spans="1:2" x14ac:dyDescent="0.3">
      <c r="A11468" s="9" t="str">
        <f>HYPERLINK("http://www.eatonpowersource.com/products/configure/motors/details/101-2158-009","101-2158-009")</f>
        <v>101-2158-009</v>
      </c>
      <c r="B11468" s="10" t="s">
        <v>11048</v>
      </c>
    </row>
    <row r="11469" spans="1:2" x14ac:dyDescent="0.3">
      <c r="A11469" s="7" t="str">
        <f>HYPERLINK("http://www.eatonpowersource.com/products/configure/motors/details/101-2159-009","101-2159-009")</f>
        <v>101-2159-009</v>
      </c>
      <c r="B11469" s="8" t="s">
        <v>11049</v>
      </c>
    </row>
    <row r="11470" spans="1:2" x14ac:dyDescent="0.3">
      <c r="A11470" s="9" t="str">
        <f>HYPERLINK("http://www.eatonpowersource.com/products/configure/motors/details/101-2160-009","101-2160-009")</f>
        <v>101-2160-009</v>
      </c>
      <c r="B11470" s="10" t="s">
        <v>11050</v>
      </c>
    </row>
    <row r="11471" spans="1:2" x14ac:dyDescent="0.3">
      <c r="A11471" s="7" t="str">
        <f>HYPERLINK("http://www.eatonpowersource.com/products/configure/motors/details/101-2161-009","101-2161-009")</f>
        <v>101-2161-009</v>
      </c>
      <c r="B11471" s="8" t="s">
        <v>11051</v>
      </c>
    </row>
    <row r="11472" spans="1:2" x14ac:dyDescent="0.3">
      <c r="A11472" s="9" t="str">
        <f>HYPERLINK("http://www.eatonpowersource.com/products/configure/motors/details/101-2162-009","101-2162-009")</f>
        <v>101-2162-009</v>
      </c>
      <c r="B11472" s="10" t="s">
        <v>11052</v>
      </c>
    </row>
    <row r="11473" spans="1:2" x14ac:dyDescent="0.3">
      <c r="A11473" s="7" t="str">
        <f>HYPERLINK("http://www.eatonpowersource.com/products/configure/motors/details/101-2163-009","101-2163-009")</f>
        <v>101-2163-009</v>
      </c>
      <c r="B11473" s="8" t="s">
        <v>11053</v>
      </c>
    </row>
    <row r="11474" spans="1:2" x14ac:dyDescent="0.3">
      <c r="A11474" s="9" t="str">
        <f>HYPERLINK("http://www.eatonpowersource.com/products/configure/motors/details/101-2164-009","101-2164-009")</f>
        <v>101-2164-009</v>
      </c>
      <c r="B11474" s="10" t="s">
        <v>11054</v>
      </c>
    </row>
    <row r="11475" spans="1:2" x14ac:dyDescent="0.3">
      <c r="A11475" s="7" t="str">
        <f>HYPERLINK("http://www.eatonpowersource.com/products/configure/motors/details/101-2170-009","101-2170-009")</f>
        <v>101-2170-009</v>
      </c>
      <c r="B11475" s="8" t="s">
        <v>11055</v>
      </c>
    </row>
    <row r="11476" spans="1:2" x14ac:dyDescent="0.3">
      <c r="A11476" s="9" t="str">
        <f>HYPERLINK("http://www.eatonpowersource.com/products/configure/motors/details/101-2171-009","101-2171-009")</f>
        <v>101-2171-009</v>
      </c>
      <c r="B11476" s="10" t="s">
        <v>11056</v>
      </c>
    </row>
    <row r="11477" spans="1:2" x14ac:dyDescent="0.3">
      <c r="A11477" s="7" t="str">
        <f>HYPERLINK("http://www.eatonpowersource.com/products/configure/motors/details/101-2172-009","101-2172-009")</f>
        <v>101-2172-009</v>
      </c>
      <c r="B11477" s="8" t="s">
        <v>11057</v>
      </c>
    </row>
    <row r="11478" spans="1:2" x14ac:dyDescent="0.3">
      <c r="A11478" s="9" t="str">
        <f>HYPERLINK("http://www.eatonpowersource.com/products/configure/motors/details/101-2174-009","101-2174-009")</f>
        <v>101-2174-009</v>
      </c>
      <c r="B11478" s="10" t="s">
        <v>11058</v>
      </c>
    </row>
    <row r="11479" spans="1:2" x14ac:dyDescent="0.3">
      <c r="A11479" s="7" t="str">
        <f>HYPERLINK("http://www.eatonpowersource.com/products/configure/motors/details/101-2241-009","101-2241-009")</f>
        <v>101-2241-009</v>
      </c>
      <c r="B11479" s="8" t="s">
        <v>11059</v>
      </c>
    </row>
    <row r="11480" spans="1:2" x14ac:dyDescent="0.3">
      <c r="A11480" s="9" t="str">
        <f>HYPERLINK("http://www.eatonpowersource.com/products/configure/motors/details/101-2242-009","101-2242-009")</f>
        <v>101-2242-009</v>
      </c>
      <c r="B11480" s="10" t="s">
        <v>11060</v>
      </c>
    </row>
    <row r="11481" spans="1:2" x14ac:dyDescent="0.3">
      <c r="A11481" s="7" t="str">
        <f>HYPERLINK("http://www.eatonpowersource.com/products/configure/motors/details/101-2248-009","101-2248-009")</f>
        <v>101-2248-009</v>
      </c>
      <c r="B11481" s="8" t="s">
        <v>11061</v>
      </c>
    </row>
    <row r="11482" spans="1:2" x14ac:dyDescent="0.3">
      <c r="A11482" s="9" t="str">
        <f>HYPERLINK("http://www.eatonpowersource.com/products/configure/motors/details/101-2253-009","101-2253-009")</f>
        <v>101-2253-009</v>
      </c>
      <c r="B11482" s="10" t="s">
        <v>11062</v>
      </c>
    </row>
    <row r="11483" spans="1:2" x14ac:dyDescent="0.3">
      <c r="A11483" s="7" t="str">
        <f>HYPERLINK("http://www.eatonpowersource.com/products/configure/motors/details/101-2255-009","101-2255-009")</f>
        <v>101-2255-009</v>
      </c>
      <c r="B11483" s="8" t="s">
        <v>11063</v>
      </c>
    </row>
    <row r="11484" spans="1:2" x14ac:dyDescent="0.3">
      <c r="A11484" s="9" t="str">
        <f>HYPERLINK("http://www.eatonpowersource.com/products/configure/motors/details/101-2260-009","101-2260-009")</f>
        <v>101-2260-009</v>
      </c>
      <c r="B11484" s="10" t="s">
        <v>11064</v>
      </c>
    </row>
    <row r="11485" spans="1:2" x14ac:dyDescent="0.3">
      <c r="A11485" s="7" t="str">
        <f>HYPERLINK("http://www.eatonpowersource.com/products/configure/motors/details/101-2344-009","101-2344-009")</f>
        <v>101-2344-009</v>
      </c>
      <c r="B11485" s="8" t="s">
        <v>11065</v>
      </c>
    </row>
    <row r="11486" spans="1:2" x14ac:dyDescent="0.3">
      <c r="A11486" s="9" t="str">
        <f>HYPERLINK("http://www.eatonpowersource.com/products/configure/motors/details/101-2368-009","101-2368-009")</f>
        <v>101-2368-009</v>
      </c>
      <c r="B11486" s="10" t="s">
        <v>11066</v>
      </c>
    </row>
    <row r="11487" spans="1:2" x14ac:dyDescent="0.3">
      <c r="A11487" s="7" t="str">
        <f>HYPERLINK("http://www.eatonpowersource.com/products/configure/motors/details/101-2370-009","101-2370-009")</f>
        <v>101-2370-009</v>
      </c>
      <c r="B11487" s="8" t="s">
        <v>11067</v>
      </c>
    </row>
    <row r="11488" spans="1:2" x14ac:dyDescent="0.3">
      <c r="A11488" s="9" t="str">
        <f>HYPERLINK("http://www.eatonpowersource.com/products/configure/motors/details/101-2393-009","101-2393-009")</f>
        <v>101-2393-009</v>
      </c>
      <c r="B11488" s="10" t="s">
        <v>11068</v>
      </c>
    </row>
    <row r="11489" spans="1:2" x14ac:dyDescent="0.3">
      <c r="A11489" s="7" t="str">
        <f>HYPERLINK("http://www.eatonpowersource.com/products/configure/motors/details/101-2403-009","101-2403-009")</f>
        <v>101-2403-009</v>
      </c>
      <c r="B11489" s="8" t="s">
        <v>11069</v>
      </c>
    </row>
    <row r="11490" spans="1:2" x14ac:dyDescent="0.3">
      <c r="A11490" s="9" t="str">
        <f>HYPERLINK("http://www.eatonpowersource.com/products/configure/motors/details/101-2428-009","101-2428-009")</f>
        <v>101-2428-009</v>
      </c>
      <c r="B11490" s="10" t="s">
        <v>11070</v>
      </c>
    </row>
    <row r="11491" spans="1:2" x14ac:dyDescent="0.3">
      <c r="A11491" s="7" t="str">
        <f>HYPERLINK("http://www.eatonpowersource.com/products/configure/motors/details/101-2447-009","101-2447-009")</f>
        <v>101-2447-009</v>
      </c>
      <c r="B11491" s="8" t="s">
        <v>11071</v>
      </c>
    </row>
    <row r="11492" spans="1:2" x14ac:dyDescent="0.3">
      <c r="A11492" s="9" t="str">
        <f>HYPERLINK("http://www.eatonpowersource.com/products/configure/motors/details/101-2462-009","101-2462-009")</f>
        <v>101-2462-009</v>
      </c>
      <c r="B11492" s="10" t="s">
        <v>11072</v>
      </c>
    </row>
    <row r="11493" spans="1:2" x14ac:dyDescent="0.3">
      <c r="A11493" s="7" t="str">
        <f>HYPERLINK("http://www.eatonpowersource.com/products/configure/motors/details/101-2473-009","101-2473-009")</f>
        <v>101-2473-009</v>
      </c>
      <c r="B11493" s="8" t="s">
        <v>11073</v>
      </c>
    </row>
    <row r="11494" spans="1:2" x14ac:dyDescent="0.3">
      <c r="A11494" s="9" t="str">
        <f>HYPERLINK("http://www.eatonpowersource.com/products/configure/motors/details/101-2474-009","101-2474-009")</f>
        <v>101-2474-009</v>
      </c>
      <c r="B11494" s="10" t="s">
        <v>11074</v>
      </c>
    </row>
    <row r="11495" spans="1:2" x14ac:dyDescent="0.3">
      <c r="A11495" s="7" t="str">
        <f>HYPERLINK("http://www.eatonpowersource.com/products/configure/motors/details/101-2487-009","101-2487-009")</f>
        <v>101-2487-009</v>
      </c>
      <c r="B11495" s="8" t="s">
        <v>11075</v>
      </c>
    </row>
    <row r="11496" spans="1:2" x14ac:dyDescent="0.3">
      <c r="A11496" s="9" t="str">
        <f>HYPERLINK("http://www.eatonpowersource.com/products/configure/motors/details/101-2498-009","101-2498-009")</f>
        <v>101-2498-009</v>
      </c>
      <c r="B11496" s="10" t="s">
        <v>11076</v>
      </c>
    </row>
    <row r="11497" spans="1:2" x14ac:dyDescent="0.3">
      <c r="A11497" s="7" t="str">
        <f>HYPERLINK("http://www.eatonpowersource.com/products/configure/motors/details/101-2529-009","101-2529-009")</f>
        <v>101-2529-009</v>
      </c>
      <c r="B11497" s="8" t="s">
        <v>11077</v>
      </c>
    </row>
    <row r="11498" spans="1:2" x14ac:dyDescent="0.3">
      <c r="A11498" s="9" t="str">
        <f>HYPERLINK("http://www.eatonpowersource.com/products/configure/motors/details/101-2539-009","101-2539-009")</f>
        <v>101-2539-009</v>
      </c>
      <c r="B11498" s="10" t="s">
        <v>11078</v>
      </c>
    </row>
    <row r="11499" spans="1:2" x14ac:dyDescent="0.3">
      <c r="A11499" s="7" t="str">
        <f>HYPERLINK("http://www.eatonpowersource.com/products/configure/motors/details/101-2545-009","101-2545-009")</f>
        <v>101-2545-009</v>
      </c>
      <c r="B11499" s="8" t="s">
        <v>11079</v>
      </c>
    </row>
    <row r="11500" spans="1:2" x14ac:dyDescent="0.3">
      <c r="A11500" s="9" t="str">
        <f>HYPERLINK("http://www.eatonpowersource.com/products/configure/motors/details/101-2546-009","101-2546-009")</f>
        <v>101-2546-009</v>
      </c>
      <c r="B11500" s="10" t="s">
        <v>11080</v>
      </c>
    </row>
    <row r="11501" spans="1:2" x14ac:dyDescent="0.3">
      <c r="A11501" s="7" t="str">
        <f>HYPERLINK("http://www.eatonpowersource.com/products/configure/motors/details/101-2557-009","101-2557-009")</f>
        <v>101-2557-009</v>
      </c>
      <c r="B11501" s="8" t="s">
        <v>11081</v>
      </c>
    </row>
    <row r="11502" spans="1:2" x14ac:dyDescent="0.3">
      <c r="A11502" s="9" t="str">
        <f>HYPERLINK("http://www.eatonpowersource.com/products/configure/motors/details/101-2559-009","101-2559-009")</f>
        <v>101-2559-009</v>
      </c>
      <c r="B11502" s="10" t="s">
        <v>11082</v>
      </c>
    </row>
    <row r="11503" spans="1:2" x14ac:dyDescent="0.3">
      <c r="A11503" s="7" t="str">
        <f>HYPERLINK("http://www.eatonpowersource.com/products/configure/motors/details/101-2566-009","101-2566-009")</f>
        <v>101-2566-009</v>
      </c>
      <c r="B11503" s="8" t="s">
        <v>11083</v>
      </c>
    </row>
    <row r="11504" spans="1:2" x14ac:dyDescent="0.3">
      <c r="A11504" s="9" t="str">
        <f>HYPERLINK("http://www.eatonpowersource.com/products/configure/motors/details/101-2572-009","101-2572-009")</f>
        <v>101-2572-009</v>
      </c>
      <c r="B11504" s="10" t="s">
        <v>11084</v>
      </c>
    </row>
    <row r="11505" spans="1:2" x14ac:dyDescent="0.3">
      <c r="A11505" s="7" t="str">
        <f>HYPERLINK("http://www.eatonpowersource.com/products/configure/motors/details/101-2574-009","101-2574-009")</f>
        <v>101-2574-009</v>
      </c>
      <c r="B11505" s="8" t="s">
        <v>11085</v>
      </c>
    </row>
    <row r="11506" spans="1:2" x14ac:dyDescent="0.3">
      <c r="A11506" s="9" t="str">
        <f>HYPERLINK("http://www.eatonpowersource.com/products/configure/motors/details/101-2592-009","101-2592-009")</f>
        <v>101-2592-009</v>
      </c>
      <c r="B11506" s="10" t="s">
        <v>11086</v>
      </c>
    </row>
    <row r="11507" spans="1:2" x14ac:dyDescent="0.3">
      <c r="A11507" s="7" t="str">
        <f>HYPERLINK("http://www.eatonpowersource.com/products/configure/motors/details/101-2610-009","101-2610-009")</f>
        <v>101-2610-009</v>
      </c>
      <c r="B11507" s="8" t="s">
        <v>11087</v>
      </c>
    </row>
    <row r="11508" spans="1:2" x14ac:dyDescent="0.3">
      <c r="A11508" s="9" t="str">
        <f>HYPERLINK("http://www.eatonpowersource.com/products/configure/motors/details/101-2613-009","101-2613-009")</f>
        <v>101-2613-009</v>
      </c>
      <c r="B11508" s="10" t="s">
        <v>11088</v>
      </c>
    </row>
    <row r="11509" spans="1:2" x14ac:dyDescent="0.3">
      <c r="A11509" s="7" t="str">
        <f>HYPERLINK("http://www.eatonpowersource.com/products/configure/motors/details/101-2622-009","101-2622-009")</f>
        <v>101-2622-009</v>
      </c>
      <c r="B11509" s="8" t="s">
        <v>11089</v>
      </c>
    </row>
    <row r="11510" spans="1:2" x14ac:dyDescent="0.3">
      <c r="A11510" s="9" t="str">
        <f>HYPERLINK("http://www.eatonpowersource.com/products/configure/motors/details/101-2645-009","101-2645-009")</f>
        <v>101-2645-009</v>
      </c>
      <c r="B11510" s="10" t="s">
        <v>11090</v>
      </c>
    </row>
    <row r="11511" spans="1:2" x14ac:dyDescent="0.3">
      <c r="A11511" s="7" t="str">
        <f>HYPERLINK("http://www.eatonpowersource.com/products/configure/motors/details/101-2646-009","101-2646-009")</f>
        <v>101-2646-009</v>
      </c>
      <c r="B11511" s="8" t="s">
        <v>11091</v>
      </c>
    </row>
    <row r="11512" spans="1:2" x14ac:dyDescent="0.3">
      <c r="A11512" s="9" t="str">
        <f>HYPERLINK("http://www.eatonpowersource.com/products/configure/motors/details/101-2654-009","101-2654-009")</f>
        <v>101-2654-009</v>
      </c>
      <c r="B11512" s="10" t="s">
        <v>11092</v>
      </c>
    </row>
    <row r="11513" spans="1:2" x14ac:dyDescent="0.3">
      <c r="A11513" s="7" t="str">
        <f>HYPERLINK("http://www.eatonpowersource.com/products/configure/motors/details/101-2662-009","101-2662-009")</f>
        <v>101-2662-009</v>
      </c>
      <c r="B11513" s="8" t="s">
        <v>11093</v>
      </c>
    </row>
    <row r="11514" spans="1:2" x14ac:dyDescent="0.3">
      <c r="A11514" s="9" t="str">
        <f>HYPERLINK("http://www.eatonpowersource.com/products/configure/motors/details/101-2664-009","101-2664-009")</f>
        <v>101-2664-009</v>
      </c>
      <c r="B11514" s="10" t="s">
        <v>11094</v>
      </c>
    </row>
    <row r="11515" spans="1:2" x14ac:dyDescent="0.3">
      <c r="A11515" s="7" t="str">
        <f>HYPERLINK("http://www.eatonpowersource.com/products/configure/motors/details/101-2668-009","101-2668-009")</f>
        <v>101-2668-009</v>
      </c>
      <c r="B11515" s="8" t="s">
        <v>11095</v>
      </c>
    </row>
    <row r="11516" spans="1:2" x14ac:dyDescent="0.3">
      <c r="A11516" s="9" t="str">
        <f>HYPERLINK("http://www.eatonpowersource.com/products/configure/motors/details/101-2681-009","101-2681-009")</f>
        <v>101-2681-009</v>
      </c>
      <c r="B11516" s="10" t="s">
        <v>11096</v>
      </c>
    </row>
    <row r="11517" spans="1:2" x14ac:dyDescent="0.3">
      <c r="A11517" s="7" t="str">
        <f>HYPERLINK("http://www.eatonpowersource.com/products/configure/motors/details/101-2687-009","101-2687-009")</f>
        <v>101-2687-009</v>
      </c>
      <c r="B11517" s="8" t="s">
        <v>11097</v>
      </c>
    </row>
    <row r="11518" spans="1:2" x14ac:dyDescent="0.3">
      <c r="A11518" s="9" t="str">
        <f>HYPERLINK("http://www.eatonpowersource.com/products/configure/motors/details/101-2693-009","101-2693-009")</f>
        <v>101-2693-009</v>
      </c>
      <c r="B11518" s="10" t="s">
        <v>11098</v>
      </c>
    </row>
    <row r="11519" spans="1:2" x14ac:dyDescent="0.3">
      <c r="A11519" s="7" t="str">
        <f>HYPERLINK("http://www.eatonpowersource.com/products/configure/motors/details/101-2718-009","101-2718-009")</f>
        <v>101-2718-009</v>
      </c>
      <c r="B11519" s="8" t="s">
        <v>11099</v>
      </c>
    </row>
    <row r="11520" spans="1:2" x14ac:dyDescent="0.3">
      <c r="A11520" s="9" t="str">
        <f>HYPERLINK("http://www.eatonpowersource.com/products/configure/motors/details/101-2724-009","101-2724-009")</f>
        <v>101-2724-009</v>
      </c>
      <c r="B11520" s="10" t="s">
        <v>11100</v>
      </c>
    </row>
    <row r="11521" spans="1:2" x14ac:dyDescent="0.3">
      <c r="A11521" s="7" t="str">
        <f>HYPERLINK("http://www.eatonpowersource.com/products/configure/motors/details/101-2730-009","101-2730-009")</f>
        <v>101-2730-009</v>
      </c>
      <c r="B11521" s="8" t="s">
        <v>11101</v>
      </c>
    </row>
    <row r="11522" spans="1:2" x14ac:dyDescent="0.3">
      <c r="A11522" s="9" t="str">
        <f>HYPERLINK("http://www.eatonpowersource.com/products/configure/motors/details/101-2734-009","101-2734-009")</f>
        <v>101-2734-009</v>
      </c>
      <c r="B11522" s="10" t="s">
        <v>11102</v>
      </c>
    </row>
    <row r="11523" spans="1:2" x14ac:dyDescent="0.3">
      <c r="A11523" s="7" t="str">
        <f>HYPERLINK("http://www.eatonpowersource.com/products/configure/motors/details/101-2735-009","101-2735-009")</f>
        <v>101-2735-009</v>
      </c>
      <c r="B11523" s="8" t="s">
        <v>11103</v>
      </c>
    </row>
    <row r="11524" spans="1:2" x14ac:dyDescent="0.3">
      <c r="A11524" s="9" t="str">
        <f>HYPERLINK("http://www.eatonpowersource.com/products/configure/motors/details/101-2739-009","101-2739-009")</f>
        <v>101-2739-009</v>
      </c>
      <c r="B11524" s="10" t="s">
        <v>11104</v>
      </c>
    </row>
    <row r="11525" spans="1:2" x14ac:dyDescent="0.3">
      <c r="A11525" s="7" t="str">
        <f>HYPERLINK("http://www.eatonpowersource.com/products/configure/motors/details/101-2751-009","101-2751-009")</f>
        <v>101-2751-009</v>
      </c>
      <c r="B11525" s="8" t="s">
        <v>11105</v>
      </c>
    </row>
    <row r="11526" spans="1:2" x14ac:dyDescent="0.3">
      <c r="A11526" s="9" t="str">
        <f>HYPERLINK("http://www.eatonpowersource.com/products/configure/motors/details/101-2766-009","101-2766-009")</f>
        <v>101-2766-009</v>
      </c>
      <c r="B11526" s="10" t="s">
        <v>11106</v>
      </c>
    </row>
    <row r="11527" spans="1:2" x14ac:dyDescent="0.3">
      <c r="A11527" s="7" t="str">
        <f>HYPERLINK("http://www.eatonpowersource.com/products/configure/motors/details/101-2767-009","101-2767-009")</f>
        <v>101-2767-009</v>
      </c>
      <c r="B11527" s="8" t="s">
        <v>11107</v>
      </c>
    </row>
    <row r="11528" spans="1:2" x14ac:dyDescent="0.3">
      <c r="A11528" s="9" t="str">
        <f>HYPERLINK("http://www.eatonpowersource.com/products/configure/motors/details/101-2769-009","101-2769-009")</f>
        <v>101-2769-009</v>
      </c>
      <c r="B11528" s="10" t="s">
        <v>11108</v>
      </c>
    </row>
    <row r="11529" spans="1:2" x14ac:dyDescent="0.3">
      <c r="A11529" s="7" t="str">
        <f>HYPERLINK("http://www.eatonpowersource.com/products/configure/motors/details/101-2776-009","101-2776-009")</f>
        <v>101-2776-009</v>
      </c>
      <c r="B11529" s="8" t="s">
        <v>11109</v>
      </c>
    </row>
    <row r="11530" spans="1:2" x14ac:dyDescent="0.3">
      <c r="A11530" s="9" t="str">
        <f>HYPERLINK("http://www.eatonpowersource.com/products/configure/motors/details/101-2799-009","101-2799-009")</f>
        <v>101-2799-009</v>
      </c>
      <c r="B11530" s="10" t="s">
        <v>11110</v>
      </c>
    </row>
    <row r="11531" spans="1:2" x14ac:dyDescent="0.3">
      <c r="A11531" s="7" t="str">
        <f>HYPERLINK("http://www.eatonpowersource.com/products/configure/motors/details/101-2800-009","101-2800-009")</f>
        <v>101-2800-009</v>
      </c>
      <c r="B11531" s="8" t="s">
        <v>11111</v>
      </c>
    </row>
    <row r="11532" spans="1:2" x14ac:dyDescent="0.3">
      <c r="A11532" s="9" t="str">
        <f>HYPERLINK("http://www.eatonpowersource.com/products/configure/motors/details/101-2816-009","101-2816-009")</f>
        <v>101-2816-009</v>
      </c>
      <c r="B11532" s="10" t="s">
        <v>11112</v>
      </c>
    </row>
    <row r="11533" spans="1:2" x14ac:dyDescent="0.3">
      <c r="A11533" s="7" t="str">
        <f>HYPERLINK("http://www.eatonpowersource.com/products/configure/motors/details/101-2822-009","101-2822-009")</f>
        <v>101-2822-009</v>
      </c>
      <c r="B11533" s="8" t="s">
        <v>11113</v>
      </c>
    </row>
    <row r="11534" spans="1:2" x14ac:dyDescent="0.3">
      <c r="A11534" s="9" t="str">
        <f>HYPERLINK("http://www.eatonpowersource.com/products/configure/motors/details/101-2842-009","101-2842-009")</f>
        <v>101-2842-009</v>
      </c>
      <c r="B11534" s="10" t="s">
        <v>11114</v>
      </c>
    </row>
    <row r="11535" spans="1:2" x14ac:dyDescent="0.3">
      <c r="A11535" s="7" t="str">
        <f>HYPERLINK("http://www.eatonpowersource.com/products/configure/motors/details/101-2848-009","101-2848-009")</f>
        <v>101-2848-009</v>
      </c>
      <c r="B11535" s="8" t="s">
        <v>11115</v>
      </c>
    </row>
    <row r="11536" spans="1:2" x14ac:dyDescent="0.3">
      <c r="A11536" s="9" t="str">
        <f>HYPERLINK("http://www.eatonpowersource.com/products/configure/motors/details/101-2861-009","101-2861-009")</f>
        <v>101-2861-009</v>
      </c>
      <c r="B11536" s="10" t="s">
        <v>11116</v>
      </c>
    </row>
    <row r="11537" spans="1:2" x14ac:dyDescent="0.3">
      <c r="A11537" s="7" t="str">
        <f>HYPERLINK("http://www.eatonpowersource.com/products/configure/motors/details/101-2872-009","101-2872-009")</f>
        <v>101-2872-009</v>
      </c>
      <c r="B11537" s="8" t="s">
        <v>11117</v>
      </c>
    </row>
    <row r="11538" spans="1:2" x14ac:dyDescent="0.3">
      <c r="A11538" s="9" t="str">
        <f>HYPERLINK("http://www.eatonpowersource.com/products/configure/motors/details/101-2886-009","101-2886-009")</f>
        <v>101-2886-009</v>
      </c>
      <c r="B11538" s="10" t="s">
        <v>11118</v>
      </c>
    </row>
    <row r="11539" spans="1:2" x14ac:dyDescent="0.3">
      <c r="A11539" s="7" t="str">
        <f>HYPERLINK("http://www.eatonpowersource.com/products/configure/motors/details/101-2902-009","101-2902-009")</f>
        <v>101-2902-009</v>
      </c>
      <c r="B11539" s="8" t="s">
        <v>11119</v>
      </c>
    </row>
    <row r="11540" spans="1:2" x14ac:dyDescent="0.3">
      <c r="A11540" s="9" t="str">
        <f>HYPERLINK("http://www.eatonpowersource.com/products/configure/motors/details/101-2903-009","101-2903-009")</f>
        <v>101-2903-009</v>
      </c>
      <c r="B11540" s="10" t="s">
        <v>11120</v>
      </c>
    </row>
    <row r="11541" spans="1:2" x14ac:dyDescent="0.3">
      <c r="A11541" s="7" t="str">
        <f>HYPERLINK("http://www.eatonpowersource.com/products/configure/motors/details/101-2904-009","101-2904-009")</f>
        <v>101-2904-009</v>
      </c>
      <c r="B11541" s="8" t="s">
        <v>11121</v>
      </c>
    </row>
    <row r="11542" spans="1:2" x14ac:dyDescent="0.3">
      <c r="A11542" s="9" t="str">
        <f>HYPERLINK("http://www.eatonpowersource.com/products/configure/motors/details/101-2906-009","101-2906-009")</f>
        <v>101-2906-009</v>
      </c>
      <c r="B11542" s="10" t="s">
        <v>11122</v>
      </c>
    </row>
    <row r="11543" spans="1:2" x14ac:dyDescent="0.3">
      <c r="A11543" s="7" t="str">
        <f>HYPERLINK("http://www.eatonpowersource.com/products/configure/motors/details/101-2907-009","101-2907-009")</f>
        <v>101-2907-009</v>
      </c>
      <c r="B11543" s="8" t="s">
        <v>11123</v>
      </c>
    </row>
    <row r="11544" spans="1:2" x14ac:dyDescent="0.3">
      <c r="A11544" s="9" t="str">
        <f>HYPERLINK("http://www.eatonpowersource.com/products/configure/motors/details/101-2911-009","101-2911-009")</f>
        <v>101-2911-009</v>
      </c>
      <c r="B11544" s="10" t="s">
        <v>11124</v>
      </c>
    </row>
    <row r="11545" spans="1:2" x14ac:dyDescent="0.3">
      <c r="A11545" s="7" t="str">
        <f>HYPERLINK("http://www.eatonpowersource.com/products/configure/motors/details/101-2912-009","101-2912-009")</f>
        <v>101-2912-009</v>
      </c>
      <c r="B11545" s="8" t="s">
        <v>11125</v>
      </c>
    </row>
    <row r="11546" spans="1:2" x14ac:dyDescent="0.3">
      <c r="A11546" s="9" t="str">
        <f>HYPERLINK("http://www.eatonpowersource.com/products/configure/motors/details/101-2914-009","101-2914-009")</f>
        <v>101-2914-009</v>
      </c>
      <c r="B11546" s="10" t="s">
        <v>11126</v>
      </c>
    </row>
    <row r="11547" spans="1:2" x14ac:dyDescent="0.3">
      <c r="A11547" s="7" t="str">
        <f>HYPERLINK("http://www.eatonpowersource.com/products/configure/motors/details/101-2915-009","101-2915-009")</f>
        <v>101-2915-009</v>
      </c>
      <c r="B11547" s="8" t="s">
        <v>11127</v>
      </c>
    </row>
    <row r="11548" spans="1:2" x14ac:dyDescent="0.3">
      <c r="A11548" s="9" t="str">
        <f>HYPERLINK("http://www.eatonpowersource.com/products/configure/motors/details/101-2917-009","101-2917-009")</f>
        <v>101-2917-009</v>
      </c>
      <c r="B11548" s="10" t="s">
        <v>11128</v>
      </c>
    </row>
    <row r="11549" spans="1:2" x14ac:dyDescent="0.3">
      <c r="A11549" s="7" t="str">
        <f>HYPERLINK("http://www.eatonpowersource.com/products/configure/motors/details/101-2924-009","101-2924-009")</f>
        <v>101-2924-009</v>
      </c>
      <c r="B11549" s="8" t="s">
        <v>11129</v>
      </c>
    </row>
    <row r="11550" spans="1:2" x14ac:dyDescent="0.3">
      <c r="A11550" s="9" t="str">
        <f>HYPERLINK("http://www.eatonpowersource.com/products/configure/motors/details/101-2925-009","101-2925-009")</f>
        <v>101-2925-009</v>
      </c>
      <c r="B11550" s="10" t="s">
        <v>11130</v>
      </c>
    </row>
    <row r="11551" spans="1:2" x14ac:dyDescent="0.3">
      <c r="A11551" s="7" t="str">
        <f>HYPERLINK("http://www.eatonpowersource.com/products/configure/motors/details/101-2937-009","101-2937-009")</f>
        <v>101-2937-009</v>
      </c>
      <c r="B11551" s="8" t="s">
        <v>11131</v>
      </c>
    </row>
    <row r="11552" spans="1:2" x14ac:dyDescent="0.3">
      <c r="A11552" s="9" t="str">
        <f>HYPERLINK("http://www.eatonpowersource.com/products/configure/motors/details/101-2960-009","101-2960-009")</f>
        <v>101-2960-009</v>
      </c>
      <c r="B11552" s="10" t="s">
        <v>11132</v>
      </c>
    </row>
    <row r="11553" spans="1:2" x14ac:dyDescent="0.3">
      <c r="A11553" s="7" t="str">
        <f>HYPERLINK("http://www.eatonpowersource.com/products/configure/motors/details/101-2961-009","101-2961-009")</f>
        <v>101-2961-009</v>
      </c>
      <c r="B11553" s="8" t="s">
        <v>11133</v>
      </c>
    </row>
    <row r="11554" spans="1:2" x14ac:dyDescent="0.3">
      <c r="A11554" s="9" t="str">
        <f>HYPERLINK("http://www.eatonpowersource.com/products/configure/motors/details/101-2962-009","101-2962-009")</f>
        <v>101-2962-009</v>
      </c>
      <c r="B11554" s="10" t="s">
        <v>11134</v>
      </c>
    </row>
    <row r="11555" spans="1:2" x14ac:dyDescent="0.3">
      <c r="A11555" s="7" t="str">
        <f>HYPERLINK("http://www.eatonpowersource.com/products/configure/motors/details/101-2977-009","101-2977-009")</f>
        <v>101-2977-009</v>
      </c>
      <c r="B11555" s="8" t="s">
        <v>11135</v>
      </c>
    </row>
    <row r="11556" spans="1:2" x14ac:dyDescent="0.3">
      <c r="A11556" s="9" t="str">
        <f>HYPERLINK("http://www.eatonpowersource.com/products/configure/motors/details/101-2986-009","101-2986-009")</f>
        <v>101-2986-009</v>
      </c>
      <c r="B11556" s="10" t="s">
        <v>11136</v>
      </c>
    </row>
    <row r="11557" spans="1:2" x14ac:dyDescent="0.3">
      <c r="A11557" s="7" t="str">
        <f>HYPERLINK("http://www.eatonpowersource.com/products/configure/motors/details/101-2995-009","101-2995-009")</f>
        <v>101-2995-009</v>
      </c>
      <c r="B11557" s="8" t="s">
        <v>11137</v>
      </c>
    </row>
    <row r="11558" spans="1:2" x14ac:dyDescent="0.3">
      <c r="A11558" s="9" t="str">
        <f>HYPERLINK("http://www.eatonpowersource.com/products/configure/motors/details/101-3001-009","101-3001-009")</f>
        <v>101-3001-009</v>
      </c>
      <c r="B11558" s="10" t="s">
        <v>11138</v>
      </c>
    </row>
    <row r="11559" spans="1:2" x14ac:dyDescent="0.3">
      <c r="A11559" s="7" t="str">
        <f>HYPERLINK("http://www.eatonpowersource.com/products/configure/motors/details/101-3011-009","101-3011-009")</f>
        <v>101-3011-009</v>
      </c>
      <c r="B11559" s="8" t="s">
        <v>11139</v>
      </c>
    </row>
    <row r="11560" spans="1:2" x14ac:dyDescent="0.3">
      <c r="A11560" s="9" t="str">
        <f>HYPERLINK("http://www.eatonpowersource.com/products/configure/motors/details/101-3012-009","101-3012-009")</f>
        <v>101-3012-009</v>
      </c>
      <c r="B11560" s="10" t="s">
        <v>11140</v>
      </c>
    </row>
    <row r="11561" spans="1:2" x14ac:dyDescent="0.3">
      <c r="A11561" s="7" t="str">
        <f>HYPERLINK("http://www.eatonpowersource.com/products/configure/motors/details/101-3035-009","101-3035-009")</f>
        <v>101-3035-009</v>
      </c>
      <c r="B11561" s="8" t="s">
        <v>11141</v>
      </c>
    </row>
    <row r="11562" spans="1:2" x14ac:dyDescent="0.3">
      <c r="A11562" s="9" t="str">
        <f>HYPERLINK("http://www.eatonpowersource.com/products/configure/motors/details/101-3045-009","101-3045-009")</f>
        <v>101-3045-009</v>
      </c>
      <c r="B11562" s="10" t="s">
        <v>11142</v>
      </c>
    </row>
    <row r="11563" spans="1:2" x14ac:dyDescent="0.3">
      <c r="A11563" s="7" t="str">
        <f>HYPERLINK("http://www.eatonpowersource.com/products/configure/motors/details/101-3064-009","101-3064-009")</f>
        <v>101-3064-009</v>
      </c>
      <c r="B11563" s="8" t="s">
        <v>11143</v>
      </c>
    </row>
    <row r="11564" spans="1:2" x14ac:dyDescent="0.3">
      <c r="A11564" s="9" t="str">
        <f>HYPERLINK("http://www.eatonpowersource.com/products/configure/motors/details/101-3087-009","101-3087-009")</f>
        <v>101-3087-009</v>
      </c>
      <c r="B11564" s="10" t="s">
        <v>11144</v>
      </c>
    </row>
    <row r="11565" spans="1:2" x14ac:dyDescent="0.3">
      <c r="A11565" s="7" t="str">
        <f>HYPERLINK("http://www.eatonpowersource.com/products/configure/motors/details/101-3088-009","101-3088-009")</f>
        <v>101-3088-009</v>
      </c>
      <c r="B11565" s="8" t="s">
        <v>11145</v>
      </c>
    </row>
    <row r="11566" spans="1:2" x14ac:dyDescent="0.3">
      <c r="A11566" s="9" t="str">
        <f>HYPERLINK("http://www.eatonpowersource.com/products/configure/motors/details/101-3093-009","101-3093-009")</f>
        <v>101-3093-009</v>
      </c>
      <c r="B11566" s="10" t="s">
        <v>11146</v>
      </c>
    </row>
    <row r="11567" spans="1:2" x14ac:dyDescent="0.3">
      <c r="A11567" s="7" t="str">
        <f>HYPERLINK("http://www.eatonpowersource.com/products/configure/motors/details/101-3094-009","101-3094-009")</f>
        <v>101-3094-009</v>
      </c>
      <c r="B11567" s="8" t="s">
        <v>11147</v>
      </c>
    </row>
    <row r="11568" spans="1:2" x14ac:dyDescent="0.3">
      <c r="A11568" s="9" t="str">
        <f>HYPERLINK("http://www.eatonpowersource.com/products/configure/motors/details/101-3098-009","101-3098-009")</f>
        <v>101-3098-009</v>
      </c>
      <c r="B11568" s="10" t="s">
        <v>11148</v>
      </c>
    </row>
    <row r="11569" spans="1:2" x14ac:dyDescent="0.3">
      <c r="A11569" s="7" t="str">
        <f>HYPERLINK("http://www.eatonpowersource.com/products/configure/motors/details/101-3142-009","101-3142-009")</f>
        <v>101-3142-009</v>
      </c>
      <c r="B11569" s="8" t="s">
        <v>11149</v>
      </c>
    </row>
    <row r="11570" spans="1:2" x14ac:dyDescent="0.3">
      <c r="A11570" s="9" t="str">
        <f>HYPERLINK("http://www.eatonpowersource.com/products/configure/motors/details/101-3143-009","101-3143-009")</f>
        <v>101-3143-009</v>
      </c>
      <c r="B11570" s="10" t="s">
        <v>11150</v>
      </c>
    </row>
    <row r="11571" spans="1:2" x14ac:dyDescent="0.3">
      <c r="A11571" s="7" t="str">
        <f>HYPERLINK("http://www.eatonpowersource.com/products/configure/motors/details/101-3158-009","101-3158-009")</f>
        <v>101-3158-009</v>
      </c>
      <c r="B11571" s="8" t="s">
        <v>11151</v>
      </c>
    </row>
    <row r="11572" spans="1:2" x14ac:dyDescent="0.3">
      <c r="A11572" s="9" t="str">
        <f>HYPERLINK("http://www.eatonpowersource.com/products/configure/motors/details/101-3159-009","101-3159-009")</f>
        <v>101-3159-009</v>
      </c>
      <c r="B11572" s="10" t="s">
        <v>11152</v>
      </c>
    </row>
    <row r="11573" spans="1:2" x14ac:dyDescent="0.3">
      <c r="A11573" s="7" t="str">
        <f>HYPERLINK("http://www.eatonpowersource.com/products/configure/motors/details/101-3185-009","101-3185-009")</f>
        <v>101-3185-009</v>
      </c>
      <c r="B11573" s="8" t="s">
        <v>11153</v>
      </c>
    </row>
    <row r="11574" spans="1:2" x14ac:dyDescent="0.3">
      <c r="A11574" s="9" t="str">
        <f>HYPERLINK("http://www.eatonpowersource.com/products/configure/motors/details/101-3197-009","101-3197-009")</f>
        <v>101-3197-009</v>
      </c>
      <c r="B11574" s="10" t="s">
        <v>11154</v>
      </c>
    </row>
    <row r="11575" spans="1:2" x14ac:dyDescent="0.3">
      <c r="A11575" s="7" t="str">
        <f>HYPERLINK("http://www.eatonpowersource.com/products/configure/motors/details/101-3198-009","101-3198-009")</f>
        <v>101-3198-009</v>
      </c>
      <c r="B11575" s="8" t="s">
        <v>11155</v>
      </c>
    </row>
    <row r="11576" spans="1:2" x14ac:dyDescent="0.3">
      <c r="A11576" s="9" t="str">
        <f>HYPERLINK("http://www.eatonpowersource.com/products/configure/motors/details/101-3222-009","101-3222-009")</f>
        <v>101-3222-009</v>
      </c>
      <c r="B11576" s="10" t="s">
        <v>11156</v>
      </c>
    </row>
    <row r="11577" spans="1:2" x14ac:dyDescent="0.3">
      <c r="A11577" s="7" t="str">
        <f>HYPERLINK("http://www.eatonpowersource.com/products/configure/motors/details/101-3224-009","101-3224-009")</f>
        <v>101-3224-009</v>
      </c>
      <c r="B11577" s="8" t="s">
        <v>11157</v>
      </c>
    </row>
    <row r="11578" spans="1:2" x14ac:dyDescent="0.3">
      <c r="A11578" s="9" t="str">
        <f>HYPERLINK("http://www.eatonpowersource.com/products/configure/motors/details/101-3229-009","101-3229-009")</f>
        <v>101-3229-009</v>
      </c>
      <c r="B11578" s="10" t="s">
        <v>11158</v>
      </c>
    </row>
    <row r="11579" spans="1:2" x14ac:dyDescent="0.3">
      <c r="A11579" s="7" t="str">
        <f>HYPERLINK("http://www.eatonpowersource.com/products/configure/motors/details/101-3272-009","101-3272-009")</f>
        <v>101-3272-009</v>
      </c>
      <c r="B11579" s="8" t="s">
        <v>11159</v>
      </c>
    </row>
    <row r="11580" spans="1:2" x14ac:dyDescent="0.3">
      <c r="A11580" s="9" t="str">
        <f>HYPERLINK("http://www.eatonpowersource.com/products/configure/motors/details/101-3303-009","101-3303-009")</f>
        <v>101-3303-009</v>
      </c>
      <c r="B11580" s="10" t="s">
        <v>11160</v>
      </c>
    </row>
    <row r="11581" spans="1:2" x14ac:dyDescent="0.3">
      <c r="A11581" s="7" t="str">
        <f>HYPERLINK("http://www.eatonpowersource.com/products/configure/motors/details/101-3331-009","101-3331-009")</f>
        <v>101-3331-009</v>
      </c>
      <c r="B11581" s="8" t="s">
        <v>11161</v>
      </c>
    </row>
    <row r="11582" spans="1:2" x14ac:dyDescent="0.3">
      <c r="A11582" s="9" t="str">
        <f>HYPERLINK("http://www.eatonpowersource.com/products/configure/motors/details/101-3368-009","101-3368-009")</f>
        <v>101-3368-009</v>
      </c>
      <c r="B11582" s="10" t="s">
        <v>11162</v>
      </c>
    </row>
    <row r="11583" spans="1:2" x14ac:dyDescent="0.3">
      <c r="A11583" s="7" t="str">
        <f>HYPERLINK("http://www.eatonpowersource.com/products/configure/motors/details/101-3428-009","101-3428-009")</f>
        <v>101-3428-009</v>
      </c>
      <c r="B11583" s="8" t="s">
        <v>11163</v>
      </c>
    </row>
    <row r="11584" spans="1:2" x14ac:dyDescent="0.3">
      <c r="A11584" s="9" t="str">
        <f>HYPERLINK("http://www.eatonpowersource.com/products/configure/motors/details/101-3450-009","101-3450-009")</f>
        <v>101-3450-009</v>
      </c>
      <c r="B11584" s="10" t="s">
        <v>11164</v>
      </c>
    </row>
    <row r="11585" spans="1:2" x14ac:dyDescent="0.3">
      <c r="A11585" s="7" t="str">
        <f>HYPERLINK("http://www.eatonpowersource.com/products/configure/motors/details/101-3485-009","101-3485-009")</f>
        <v>101-3485-009</v>
      </c>
      <c r="B11585" s="8" t="s">
        <v>11165</v>
      </c>
    </row>
    <row r="11586" spans="1:2" x14ac:dyDescent="0.3">
      <c r="A11586" s="9" t="str">
        <f>HYPERLINK("http://www.eatonpowersource.com/products/configure/motors/details/101-3531-009","101-3531-009")</f>
        <v>101-3531-009</v>
      </c>
      <c r="B11586" s="10" t="s">
        <v>11166</v>
      </c>
    </row>
    <row r="11587" spans="1:2" x14ac:dyDescent="0.3">
      <c r="A11587" s="7" t="str">
        <f>HYPERLINK("http://www.eatonpowersource.com/products/configure/motors/details/101-3532-009","101-3532-009")</f>
        <v>101-3532-009</v>
      </c>
      <c r="B11587" s="8" t="s">
        <v>11167</v>
      </c>
    </row>
    <row r="11588" spans="1:2" x14ac:dyDescent="0.3">
      <c r="A11588" s="9" t="str">
        <f>HYPERLINK("http://www.eatonpowersource.com/products/configure/motors/details/101-3534-009","101-3534-009")</f>
        <v>101-3534-009</v>
      </c>
      <c r="B11588" s="10" t="s">
        <v>11168</v>
      </c>
    </row>
    <row r="11589" spans="1:2" x14ac:dyDescent="0.3">
      <c r="A11589" s="7" t="str">
        <f>HYPERLINK("http://www.eatonpowersource.com/products/configure/motors/details/101-3572-009","101-3572-009")</f>
        <v>101-3572-009</v>
      </c>
      <c r="B11589" s="8" t="s">
        <v>11169</v>
      </c>
    </row>
    <row r="11590" spans="1:2" x14ac:dyDescent="0.3">
      <c r="A11590" s="9" t="str">
        <f>HYPERLINK("http://www.eatonpowersource.com/products/configure/motors/details/101-3603-009","101-3603-009")</f>
        <v>101-3603-009</v>
      </c>
      <c r="B11590" s="10" t="s">
        <v>11170</v>
      </c>
    </row>
    <row r="11591" spans="1:2" x14ac:dyDescent="0.3">
      <c r="A11591" s="7" t="str">
        <f>HYPERLINK("http://www.eatonpowersource.com/products/configure/motors/details/101-3629-009","101-3629-009")</f>
        <v>101-3629-009</v>
      </c>
      <c r="B11591" s="8" t="s">
        <v>11171</v>
      </c>
    </row>
    <row r="11592" spans="1:2" x14ac:dyDescent="0.3">
      <c r="A11592" s="9" t="str">
        <f>HYPERLINK("http://www.eatonpowersource.com/products/configure/motors/details/101-3630-009","101-3630-009")</f>
        <v>101-3630-009</v>
      </c>
      <c r="B11592" s="10" t="s">
        <v>11172</v>
      </c>
    </row>
    <row r="11593" spans="1:2" x14ac:dyDescent="0.3">
      <c r="A11593" s="7" t="str">
        <f>HYPERLINK("http://www.eatonpowersource.com/products/configure/motors/details/101-3641-009","101-3641-009")</f>
        <v>101-3641-009</v>
      </c>
      <c r="B11593" s="8" t="s">
        <v>11173</v>
      </c>
    </row>
    <row r="11594" spans="1:2" x14ac:dyDescent="0.3">
      <c r="A11594" s="9" t="str">
        <f>HYPERLINK("http://www.eatonpowersource.com/products/configure/motors/details/101-3681-009","101-3681-009")</f>
        <v>101-3681-009</v>
      </c>
      <c r="B11594" s="10" t="s">
        <v>11174</v>
      </c>
    </row>
    <row r="11595" spans="1:2" x14ac:dyDescent="0.3">
      <c r="A11595" s="7" t="str">
        <f>HYPERLINK("http://www.eatonpowersource.com/products/configure/motors/details/101-3682-009","101-3682-009")</f>
        <v>101-3682-009</v>
      </c>
      <c r="B11595" s="8" t="s">
        <v>11175</v>
      </c>
    </row>
    <row r="11596" spans="1:2" x14ac:dyDescent="0.3">
      <c r="A11596" s="9" t="str">
        <f>HYPERLINK("http://www.eatonpowersource.com/products/configure/motors/details/101-3687-009","101-3687-009")</f>
        <v>101-3687-009</v>
      </c>
      <c r="B11596" s="10" t="s">
        <v>11176</v>
      </c>
    </row>
    <row r="11597" spans="1:2" x14ac:dyDescent="0.3">
      <c r="A11597" s="7" t="str">
        <f>HYPERLINK("http://www.eatonpowersource.com/products/configure/motors/details/101-3690-009","101-3690-009")</f>
        <v>101-3690-009</v>
      </c>
      <c r="B11597" s="8" t="s">
        <v>11177</v>
      </c>
    </row>
    <row r="11598" spans="1:2" x14ac:dyDescent="0.3">
      <c r="A11598" s="9" t="str">
        <f>HYPERLINK("http://www.eatonpowersource.com/products/configure/motors/details/101-3698-009","101-3698-009")</f>
        <v>101-3698-009</v>
      </c>
      <c r="B11598" s="10" t="s">
        <v>11178</v>
      </c>
    </row>
    <row r="11599" spans="1:2" x14ac:dyDescent="0.3">
      <c r="A11599" s="7" t="str">
        <f>HYPERLINK("http://www.eatonpowersource.com/products/configure/motors/details/101-3711-009","101-3711-009")</f>
        <v>101-3711-009</v>
      </c>
      <c r="B11599" s="8" t="s">
        <v>11179</v>
      </c>
    </row>
    <row r="11600" spans="1:2" x14ac:dyDescent="0.3">
      <c r="A11600" s="9" t="str">
        <f>HYPERLINK("http://www.eatonpowersource.com/products/configure/motors/details/101-3713-009","101-3713-009")</f>
        <v>101-3713-009</v>
      </c>
      <c r="B11600" s="10" t="s">
        <v>11180</v>
      </c>
    </row>
    <row r="11601" spans="1:2" x14ac:dyDescent="0.3">
      <c r="A11601" s="7" t="str">
        <f>HYPERLINK("http://www.eatonpowersource.com/products/configure/motors/details/101-3720-009","101-3720-009")</f>
        <v>101-3720-009</v>
      </c>
      <c r="B11601" s="8" t="s">
        <v>11181</v>
      </c>
    </row>
    <row r="11602" spans="1:2" x14ac:dyDescent="0.3">
      <c r="A11602" s="9" t="str">
        <f>HYPERLINK("http://www.eatonpowersource.com/products/configure/motors/details/101-3721-009","101-3721-009")</f>
        <v>101-3721-009</v>
      </c>
      <c r="B11602" s="10" t="s">
        <v>11182</v>
      </c>
    </row>
    <row r="11603" spans="1:2" x14ac:dyDescent="0.3">
      <c r="A11603" s="7" t="str">
        <f>HYPERLINK("http://www.eatonpowersource.com/products/configure/motors/details/101-3738-009","101-3738-009")</f>
        <v>101-3738-009</v>
      </c>
      <c r="B11603" s="8" t="s">
        <v>11183</v>
      </c>
    </row>
    <row r="11604" spans="1:2" x14ac:dyDescent="0.3">
      <c r="A11604" s="9" t="str">
        <f>HYPERLINK("http://www.eatonpowersource.com/products/configure/motors/details/101-3739-009","101-3739-009")</f>
        <v>101-3739-009</v>
      </c>
      <c r="B11604" s="10" t="s">
        <v>11184</v>
      </c>
    </row>
    <row r="11605" spans="1:2" x14ac:dyDescent="0.3">
      <c r="A11605" s="7" t="str">
        <f>HYPERLINK("http://www.eatonpowersource.com/products/configure/motors/details/101-3763-009","101-3763-009")</f>
        <v>101-3763-009</v>
      </c>
      <c r="B11605" s="8" t="s">
        <v>11185</v>
      </c>
    </row>
    <row r="11606" spans="1:2" x14ac:dyDescent="0.3">
      <c r="A11606" s="9" t="str">
        <f>HYPERLINK("http://www.eatonpowersource.com/products/configure/motors/details/101-3793-009","101-3793-009")</f>
        <v>101-3793-009</v>
      </c>
      <c r="B11606" s="10" t="s">
        <v>11186</v>
      </c>
    </row>
    <row r="11607" spans="1:2" x14ac:dyDescent="0.3">
      <c r="A11607" s="7" t="str">
        <f>HYPERLINK("http://www.eatonpowersource.com/products/configure/motors/details/101-3802-009","101-3802-009")</f>
        <v>101-3802-009</v>
      </c>
      <c r="B11607" s="8" t="s">
        <v>11187</v>
      </c>
    </row>
    <row r="11608" spans="1:2" x14ac:dyDescent="0.3">
      <c r="A11608" s="9" t="str">
        <f>HYPERLINK("http://www.eatonpowersource.com/products/configure/motors/details/101-3841-009","101-3841-009")</f>
        <v>101-3841-009</v>
      </c>
      <c r="B11608" s="10" t="s">
        <v>11188</v>
      </c>
    </row>
    <row r="11609" spans="1:2" x14ac:dyDescent="0.3">
      <c r="A11609" s="7" t="str">
        <f>HYPERLINK("http://www.eatonpowersource.com/products/configure/motors/details/101-3842-009","101-3842-009")</f>
        <v>101-3842-009</v>
      </c>
      <c r="B11609" s="8" t="s">
        <v>11189</v>
      </c>
    </row>
    <row r="11610" spans="1:2" x14ac:dyDescent="0.3">
      <c r="A11610" s="9" t="str">
        <f>HYPERLINK("http://www.eatonpowersource.com/products/configure/motors/details/101-3895-009","101-3895-009")</f>
        <v>101-3895-009</v>
      </c>
      <c r="B11610" s="10" t="s">
        <v>11190</v>
      </c>
    </row>
    <row r="11611" spans="1:2" x14ac:dyDescent="0.3">
      <c r="A11611" s="7" t="str">
        <f>HYPERLINK("http://www.eatonpowersource.com/products/configure/motors/details/101-3935-009","101-3935-009")</f>
        <v>101-3935-009</v>
      </c>
      <c r="B11611" s="8" t="s">
        <v>11191</v>
      </c>
    </row>
    <row r="11612" spans="1:2" x14ac:dyDescent="0.3">
      <c r="A11612" s="9" t="str">
        <f>HYPERLINK("http://www.eatonpowersource.com/products/configure/motors/details/101-3938-009","101-3938-009")</f>
        <v>101-3938-009</v>
      </c>
      <c r="B11612" s="10" t="s">
        <v>11192</v>
      </c>
    </row>
    <row r="11613" spans="1:2" x14ac:dyDescent="0.3">
      <c r="A11613" s="7" t="str">
        <f>HYPERLINK("http://www.eatonpowersource.com/products/configure/motors/details/101-3959-009","101-3959-009")</f>
        <v>101-3959-009</v>
      </c>
      <c r="B11613" s="8" t="s">
        <v>11193</v>
      </c>
    </row>
    <row r="11614" spans="1:2" x14ac:dyDescent="0.3">
      <c r="A11614" s="9" t="str">
        <f>HYPERLINK("http://www.eatonpowersource.com/products/configure/motors/details/101-3974-009","101-3974-009")</f>
        <v>101-3974-009</v>
      </c>
      <c r="B11614" s="10" t="s">
        <v>11194</v>
      </c>
    </row>
    <row r="11615" spans="1:2" x14ac:dyDescent="0.3">
      <c r="A11615" s="7" t="str">
        <f>HYPERLINK("http://www.eatonpowersource.com/products/configure/motors/details/101-3977-009","101-3977-009")</f>
        <v>101-3977-009</v>
      </c>
      <c r="B11615" s="8" t="s">
        <v>11195</v>
      </c>
    </row>
    <row r="11616" spans="1:2" x14ac:dyDescent="0.3">
      <c r="A11616" s="9" t="str">
        <f>HYPERLINK("http://www.eatonpowersource.com/products/configure/motors/details/101-4077-009","101-4077-009")</f>
        <v>101-4077-009</v>
      </c>
      <c r="B11616" s="10" t="s">
        <v>11196</v>
      </c>
    </row>
    <row r="11617" spans="1:2" x14ac:dyDescent="0.3">
      <c r="A11617" s="7" t="str">
        <f>HYPERLINK("http://www.eatonpowersource.com/products/configure/motors/details/101-4079-009","101-4079-009")</f>
        <v>101-4079-009</v>
      </c>
      <c r="B11617" s="8" t="s">
        <v>11197</v>
      </c>
    </row>
    <row r="11618" spans="1:2" x14ac:dyDescent="0.3">
      <c r="A11618" s="9" t="str">
        <f>HYPERLINK("http://www.eatonpowersource.com/products/configure/motors/details/101-4109-009","101-4109-009")</f>
        <v>101-4109-009</v>
      </c>
      <c r="B11618" s="10" t="s">
        <v>11198</v>
      </c>
    </row>
    <row r="11619" spans="1:2" x14ac:dyDescent="0.3">
      <c r="A11619" s="7" t="str">
        <f>HYPERLINK("http://www.eatonpowersource.com/products/configure/motors/details/101-4134-009","101-4134-009")</f>
        <v>101-4134-009</v>
      </c>
      <c r="B11619" s="8" t="s">
        <v>11199</v>
      </c>
    </row>
    <row r="11620" spans="1:2" x14ac:dyDescent="0.3">
      <c r="A11620" s="9" t="str">
        <f>HYPERLINK("http://www.eatonpowersource.com/products/configure/motors/details/103-1002-012","103-1002-012")</f>
        <v>103-1002-012</v>
      </c>
      <c r="B11620" s="10" t="s">
        <v>11200</v>
      </c>
    </row>
    <row r="11621" spans="1:2" x14ac:dyDescent="0.3">
      <c r="A11621" s="7" t="str">
        <f>HYPERLINK("http://www.eatonpowersource.com/products/configure/motors/details/103-1003-012","103-1003-012")</f>
        <v>103-1003-012</v>
      </c>
      <c r="B11621" s="8" t="s">
        <v>11201</v>
      </c>
    </row>
    <row r="11622" spans="1:2" x14ac:dyDescent="0.3">
      <c r="A11622" s="9" t="str">
        <f>HYPERLINK("http://www.eatonpowersource.com/products/configure/motors/details/103-1004-012","103-1004-012")</f>
        <v>103-1004-012</v>
      </c>
      <c r="B11622" s="10" t="s">
        <v>11202</v>
      </c>
    </row>
    <row r="11623" spans="1:2" x14ac:dyDescent="0.3">
      <c r="A11623" s="7" t="str">
        <f>HYPERLINK("http://www.eatonpowersource.com/products/configure/motors/details/103-1005-012","103-1005-012")</f>
        <v>103-1005-012</v>
      </c>
      <c r="B11623" s="8" t="s">
        <v>11203</v>
      </c>
    </row>
    <row r="11624" spans="1:2" x14ac:dyDescent="0.3">
      <c r="A11624" s="9" t="str">
        <f>HYPERLINK("http://www.eatonpowersource.com/products/configure/motors/details/103-1006-012","103-1006-012")</f>
        <v>103-1006-012</v>
      </c>
      <c r="B11624" s="10" t="s">
        <v>11204</v>
      </c>
    </row>
    <row r="11625" spans="1:2" x14ac:dyDescent="0.3">
      <c r="A11625" s="7" t="str">
        <f>HYPERLINK("http://www.eatonpowersource.com/products/configure/motors/details/103-1007-012","103-1007-012")</f>
        <v>103-1007-012</v>
      </c>
      <c r="B11625" s="8" t="s">
        <v>11205</v>
      </c>
    </row>
    <row r="11626" spans="1:2" x14ac:dyDescent="0.3">
      <c r="A11626" s="9" t="str">
        <f>HYPERLINK("http://www.eatonpowersource.com/products/configure/motors/details/103-1008-012","103-1008-012")</f>
        <v>103-1008-012</v>
      </c>
      <c r="B11626" s="10" t="s">
        <v>11206</v>
      </c>
    </row>
    <row r="11627" spans="1:2" x14ac:dyDescent="0.3">
      <c r="A11627" s="7" t="str">
        <f>HYPERLINK("http://www.eatonpowersource.com/products/configure/motors/details/103-1010-012","103-1010-012")</f>
        <v>103-1010-012</v>
      </c>
      <c r="B11627" s="8" t="s">
        <v>11207</v>
      </c>
    </row>
    <row r="11628" spans="1:2" x14ac:dyDescent="0.3">
      <c r="A11628" s="9" t="str">
        <f>HYPERLINK("http://www.eatonpowersource.com/products/configure/motors/details/103-1011-012","103-1011-012")</f>
        <v>103-1011-012</v>
      </c>
      <c r="B11628" s="10" t="s">
        <v>11208</v>
      </c>
    </row>
    <row r="11629" spans="1:2" x14ac:dyDescent="0.3">
      <c r="A11629" s="7" t="str">
        <f>HYPERLINK("http://www.eatonpowersource.com/products/configure/motors/details/103-1012-012","103-1012-012")</f>
        <v>103-1012-012</v>
      </c>
      <c r="B11629" s="8" t="s">
        <v>11209</v>
      </c>
    </row>
    <row r="11630" spans="1:2" x14ac:dyDescent="0.3">
      <c r="A11630" s="9" t="str">
        <f>HYPERLINK("http://www.eatonpowersource.com/products/configure/motors/details/103-1013-012","103-1013-012")</f>
        <v>103-1013-012</v>
      </c>
      <c r="B11630" s="10" t="s">
        <v>11210</v>
      </c>
    </row>
    <row r="11631" spans="1:2" x14ac:dyDescent="0.3">
      <c r="A11631" s="7" t="str">
        <f>HYPERLINK("http://www.eatonpowersource.com/products/configure/motors/details/103-1014-012","103-1014-012")</f>
        <v>103-1014-012</v>
      </c>
      <c r="B11631" s="8" t="s">
        <v>11211</v>
      </c>
    </row>
    <row r="11632" spans="1:2" x14ac:dyDescent="0.3">
      <c r="A11632" s="9" t="str">
        <f>HYPERLINK("http://www.eatonpowersource.com/products/configure/motors/details/103-1016-012","103-1016-012")</f>
        <v>103-1016-012</v>
      </c>
      <c r="B11632" s="10" t="s">
        <v>11212</v>
      </c>
    </row>
    <row r="11633" spans="1:2" x14ac:dyDescent="0.3">
      <c r="A11633" s="7" t="str">
        <f>HYPERLINK("http://www.eatonpowersource.com/products/configure/motors/details/103-1018-012","103-1018-012")</f>
        <v>103-1018-012</v>
      </c>
      <c r="B11633" s="8" t="s">
        <v>11213</v>
      </c>
    </row>
    <row r="11634" spans="1:2" x14ac:dyDescent="0.3">
      <c r="A11634" s="9" t="str">
        <f>HYPERLINK("http://www.eatonpowersource.com/products/configure/motors/details/103-1020-012","103-1020-012")</f>
        <v>103-1020-012</v>
      </c>
      <c r="B11634" s="10" t="s">
        <v>11214</v>
      </c>
    </row>
    <row r="11635" spans="1:2" x14ac:dyDescent="0.3">
      <c r="A11635" s="7" t="str">
        <f>HYPERLINK("http://www.eatonpowersource.com/products/configure/motors/details/103-1022-012","103-1022-012")</f>
        <v>103-1022-012</v>
      </c>
      <c r="B11635" s="8" t="s">
        <v>11215</v>
      </c>
    </row>
    <row r="11636" spans="1:2" x14ac:dyDescent="0.3">
      <c r="A11636" s="9" t="str">
        <f>HYPERLINK("http://www.eatonpowersource.com/products/configure/motors/details/103-1024-012","103-1024-012")</f>
        <v>103-1024-012</v>
      </c>
      <c r="B11636" s="10" t="s">
        <v>11216</v>
      </c>
    </row>
    <row r="11637" spans="1:2" x14ac:dyDescent="0.3">
      <c r="A11637" s="7" t="str">
        <f>HYPERLINK("http://www.eatonpowersource.com/products/configure/motors/details/103-1026-012","103-1026-012")</f>
        <v>103-1026-012</v>
      </c>
      <c r="B11637" s="8" t="s">
        <v>11217</v>
      </c>
    </row>
    <row r="11638" spans="1:2" x14ac:dyDescent="0.3">
      <c r="A11638" s="9" t="str">
        <f>HYPERLINK("http://www.eatonpowersource.com/products/configure/motors/details/103-1027-012","103-1027-012")</f>
        <v>103-1027-012</v>
      </c>
      <c r="B11638" s="10" t="s">
        <v>11218</v>
      </c>
    </row>
    <row r="11639" spans="1:2" x14ac:dyDescent="0.3">
      <c r="A11639" s="7" t="str">
        <f>HYPERLINK("http://www.eatonpowersource.com/products/configure/motors/details/103-1028-012","103-1028-012")</f>
        <v>103-1028-012</v>
      </c>
      <c r="B11639" s="8" t="s">
        <v>11219</v>
      </c>
    </row>
    <row r="11640" spans="1:2" x14ac:dyDescent="0.3">
      <c r="A11640" s="9" t="str">
        <f>HYPERLINK("http://www.eatonpowersource.com/products/configure/motors/details/103-1029-012","103-1029-012")</f>
        <v>103-1029-012</v>
      </c>
      <c r="B11640" s="10" t="s">
        <v>11220</v>
      </c>
    </row>
    <row r="11641" spans="1:2" x14ac:dyDescent="0.3">
      <c r="A11641" s="7" t="str">
        <f>HYPERLINK("http://www.eatonpowersource.com/products/configure/motors/details/103-1030-012","103-1030-012")</f>
        <v>103-1030-012</v>
      </c>
      <c r="B11641" s="8" t="s">
        <v>11221</v>
      </c>
    </row>
    <row r="11642" spans="1:2" x14ac:dyDescent="0.3">
      <c r="A11642" s="9" t="str">
        <f>HYPERLINK("http://www.eatonpowersource.com/products/configure/motors/details/103-1031-012","103-1031-012")</f>
        <v>103-1031-012</v>
      </c>
      <c r="B11642" s="10" t="s">
        <v>11222</v>
      </c>
    </row>
    <row r="11643" spans="1:2" x14ac:dyDescent="0.3">
      <c r="A11643" s="7" t="str">
        <f>HYPERLINK("http://www.eatonpowersource.com/products/configure/motors/details/103-1032-012","103-1032-012")</f>
        <v>103-1032-012</v>
      </c>
      <c r="B11643" s="8" t="s">
        <v>11223</v>
      </c>
    </row>
    <row r="11644" spans="1:2" x14ac:dyDescent="0.3">
      <c r="A11644" s="9" t="str">
        <f>HYPERLINK("http://www.eatonpowersource.com/products/configure/motors/details/103-1034-012","103-1034-012")</f>
        <v>103-1034-012</v>
      </c>
      <c r="B11644" s="10" t="s">
        <v>11224</v>
      </c>
    </row>
    <row r="11645" spans="1:2" x14ac:dyDescent="0.3">
      <c r="A11645" s="7" t="str">
        <f>HYPERLINK("http://www.eatonpowersource.com/products/configure/motors/details/103-1035-012","103-1035-012")</f>
        <v>103-1035-012</v>
      </c>
      <c r="B11645" s="8" t="s">
        <v>11225</v>
      </c>
    </row>
    <row r="11646" spans="1:2" x14ac:dyDescent="0.3">
      <c r="A11646" s="9" t="str">
        <f>HYPERLINK("http://www.eatonpowersource.com/products/configure/motors/details/103-1036-012","103-1036-012")</f>
        <v>103-1036-012</v>
      </c>
      <c r="B11646" s="10" t="s">
        <v>11226</v>
      </c>
    </row>
    <row r="11647" spans="1:2" x14ac:dyDescent="0.3">
      <c r="A11647" s="7" t="str">
        <f>HYPERLINK("http://www.eatonpowersource.com/products/configure/motors/details/103-1037-012","103-1037-012")</f>
        <v>103-1037-012</v>
      </c>
      <c r="B11647" s="8" t="s">
        <v>11227</v>
      </c>
    </row>
    <row r="11648" spans="1:2" x14ac:dyDescent="0.3">
      <c r="A11648" s="9" t="str">
        <f>HYPERLINK("http://www.eatonpowersource.com/products/configure/motors/details/103-1038-012","103-1038-012")</f>
        <v>103-1038-012</v>
      </c>
      <c r="B11648" s="10" t="s">
        <v>11228</v>
      </c>
    </row>
    <row r="11649" spans="1:2" x14ac:dyDescent="0.3">
      <c r="A11649" s="7" t="str">
        <f>HYPERLINK("http://www.eatonpowersource.com/products/configure/motors/details/103-1039-012","103-1039-012")</f>
        <v>103-1039-012</v>
      </c>
      <c r="B11649" s="8" t="s">
        <v>11229</v>
      </c>
    </row>
    <row r="11650" spans="1:2" x14ac:dyDescent="0.3">
      <c r="A11650" s="9" t="str">
        <f>HYPERLINK("http://www.eatonpowersource.com/products/configure/motors/details/103-1040-012","103-1040-012")</f>
        <v>103-1040-012</v>
      </c>
      <c r="B11650" s="10" t="s">
        <v>11230</v>
      </c>
    </row>
    <row r="11651" spans="1:2" x14ac:dyDescent="0.3">
      <c r="A11651" s="7" t="str">
        <f>HYPERLINK("http://www.eatonpowersource.com/products/configure/motors/details/103-1044-012","103-1044-012")</f>
        <v>103-1044-012</v>
      </c>
      <c r="B11651" s="8" t="s">
        <v>11231</v>
      </c>
    </row>
    <row r="11652" spans="1:2" x14ac:dyDescent="0.3">
      <c r="A11652" s="9" t="str">
        <f>HYPERLINK("http://www.eatonpowersource.com/products/configure/motors/details/103-1046-012","103-1046-012")</f>
        <v>103-1046-012</v>
      </c>
      <c r="B11652" s="10" t="s">
        <v>11232</v>
      </c>
    </row>
    <row r="11653" spans="1:2" x14ac:dyDescent="0.3">
      <c r="A11653" s="7" t="str">
        <f>HYPERLINK("http://www.eatonpowersource.com/products/configure/motors/details/103-1048-012","103-1048-012")</f>
        <v>103-1048-012</v>
      </c>
      <c r="B11653" s="8" t="s">
        <v>11233</v>
      </c>
    </row>
    <row r="11654" spans="1:2" x14ac:dyDescent="0.3">
      <c r="A11654" s="9" t="str">
        <f>HYPERLINK("http://www.eatonpowersource.com/products/configure/motors/details/103-1058-012","103-1058-012")</f>
        <v>103-1058-012</v>
      </c>
      <c r="B11654" s="10" t="s">
        <v>11234</v>
      </c>
    </row>
    <row r="11655" spans="1:2" x14ac:dyDescent="0.3">
      <c r="A11655" s="7" t="str">
        <f>HYPERLINK("http://www.eatonpowersource.com/products/configure/motors/details/103-1060-012","103-1060-012")</f>
        <v>103-1060-012</v>
      </c>
      <c r="B11655" s="8" t="s">
        <v>11235</v>
      </c>
    </row>
    <row r="11656" spans="1:2" x14ac:dyDescent="0.3">
      <c r="A11656" s="9" t="str">
        <f>HYPERLINK("http://www.eatonpowersource.com/products/configure/motors/details/103-1067-012","103-1067-012")</f>
        <v>103-1067-012</v>
      </c>
      <c r="B11656" s="10" t="s">
        <v>11236</v>
      </c>
    </row>
    <row r="11657" spans="1:2" x14ac:dyDescent="0.3">
      <c r="A11657" s="7" t="str">
        <f>HYPERLINK("http://www.eatonpowersource.com/products/configure/motors/details/103-1068-012","103-1068-012")</f>
        <v>103-1068-012</v>
      </c>
      <c r="B11657" s="8" t="s">
        <v>11237</v>
      </c>
    </row>
    <row r="11658" spans="1:2" x14ac:dyDescent="0.3">
      <c r="A11658" s="9" t="str">
        <f>HYPERLINK("http://www.eatonpowersource.com/products/configure/motors/details/103-1075-012","103-1075-012")</f>
        <v>103-1075-012</v>
      </c>
      <c r="B11658" s="10" t="s">
        <v>11238</v>
      </c>
    </row>
    <row r="11659" spans="1:2" x14ac:dyDescent="0.3">
      <c r="A11659" s="7" t="str">
        <f>HYPERLINK("http://www.eatonpowersource.com/products/configure/motors/details/103-1077-012","103-1077-012")</f>
        <v>103-1077-012</v>
      </c>
      <c r="B11659" s="8" t="s">
        <v>11239</v>
      </c>
    </row>
    <row r="11660" spans="1:2" x14ac:dyDescent="0.3">
      <c r="A11660" s="9" t="str">
        <f>HYPERLINK("http://www.eatonpowersource.com/products/configure/motors/details/103-1078-012","103-1078-012")</f>
        <v>103-1078-012</v>
      </c>
      <c r="B11660" s="10" t="s">
        <v>11240</v>
      </c>
    </row>
    <row r="11661" spans="1:2" x14ac:dyDescent="0.3">
      <c r="A11661" s="7" t="str">
        <f>HYPERLINK("http://www.eatonpowersource.com/products/configure/motors/details/103-1080-012","103-1080-012")</f>
        <v>103-1080-012</v>
      </c>
      <c r="B11661" s="8" t="s">
        <v>11241</v>
      </c>
    </row>
    <row r="11662" spans="1:2" x14ac:dyDescent="0.3">
      <c r="A11662" s="9" t="str">
        <f>HYPERLINK("http://www.eatonpowersource.com/products/configure/motors/details/103-1083-012","103-1083-012")</f>
        <v>103-1083-012</v>
      </c>
      <c r="B11662" s="10" t="s">
        <v>11242</v>
      </c>
    </row>
    <row r="11663" spans="1:2" x14ac:dyDescent="0.3">
      <c r="A11663" s="7" t="str">
        <f>HYPERLINK("http://www.eatonpowersource.com/products/configure/motors/details/103-1085-012","103-1085-012")</f>
        <v>103-1085-012</v>
      </c>
      <c r="B11663" s="8" t="s">
        <v>11243</v>
      </c>
    </row>
    <row r="11664" spans="1:2" x14ac:dyDescent="0.3">
      <c r="A11664" s="9" t="str">
        <f>HYPERLINK("http://www.eatonpowersource.com/products/configure/motors/details/103-1086-012","103-1086-012")</f>
        <v>103-1086-012</v>
      </c>
      <c r="B11664" s="10" t="s">
        <v>11244</v>
      </c>
    </row>
    <row r="11665" spans="1:2" x14ac:dyDescent="0.3">
      <c r="A11665" s="7" t="str">
        <f>HYPERLINK("http://www.eatonpowersource.com/products/configure/motors/details/103-1087-012","103-1087-012")</f>
        <v>103-1087-012</v>
      </c>
      <c r="B11665" s="8" t="s">
        <v>11245</v>
      </c>
    </row>
    <row r="11666" spans="1:2" x14ac:dyDescent="0.3">
      <c r="A11666" s="9" t="str">
        <f>HYPERLINK("http://www.eatonpowersource.com/products/configure/motors/details/103-1088-012","103-1088-012")</f>
        <v>103-1088-012</v>
      </c>
      <c r="B11666" s="10" t="s">
        <v>11246</v>
      </c>
    </row>
    <row r="11667" spans="1:2" x14ac:dyDescent="0.3">
      <c r="A11667" s="7" t="str">
        <f>HYPERLINK("http://www.eatonpowersource.com/products/configure/motors/details/103-1093-012","103-1093-012")</f>
        <v>103-1093-012</v>
      </c>
      <c r="B11667" s="8" t="s">
        <v>11247</v>
      </c>
    </row>
    <row r="11668" spans="1:2" x14ac:dyDescent="0.3">
      <c r="A11668" s="9" t="str">
        <f>HYPERLINK("http://www.eatonpowersource.com/products/configure/motors/details/103-1096-012","103-1096-012")</f>
        <v>103-1096-012</v>
      </c>
      <c r="B11668" s="10" t="s">
        <v>11248</v>
      </c>
    </row>
    <row r="11669" spans="1:2" x14ac:dyDescent="0.3">
      <c r="A11669" s="7" t="str">
        <f>HYPERLINK("http://www.eatonpowersource.com/products/configure/motors/details/103-1369-012","103-1369-012")</f>
        <v>103-1369-012</v>
      </c>
      <c r="B11669" s="8" t="s">
        <v>11249</v>
      </c>
    </row>
    <row r="11670" spans="1:2" x14ac:dyDescent="0.3">
      <c r="A11670" s="9" t="str">
        <f>HYPERLINK("http://www.eatonpowersource.com/products/configure/motors/details/103-1403-012","103-1403-012")</f>
        <v>103-1403-012</v>
      </c>
      <c r="B11670" s="10" t="s">
        <v>11250</v>
      </c>
    </row>
    <row r="11671" spans="1:2" x14ac:dyDescent="0.3">
      <c r="A11671" s="7" t="str">
        <f>HYPERLINK("http://www.eatonpowersource.com/products/configure/motors/details/103-1406-012","103-1406-012")</f>
        <v>103-1406-012</v>
      </c>
      <c r="B11671" s="8" t="s">
        <v>11251</v>
      </c>
    </row>
    <row r="11672" spans="1:2" x14ac:dyDescent="0.3">
      <c r="A11672" s="9" t="str">
        <f>HYPERLINK("http://www.eatonpowersource.com/products/configure/motors/details/103-1415-012","103-1415-012")</f>
        <v>103-1415-012</v>
      </c>
      <c r="B11672" s="10" t="s">
        <v>11252</v>
      </c>
    </row>
    <row r="11673" spans="1:2" x14ac:dyDescent="0.3">
      <c r="A11673" s="7" t="str">
        <f>HYPERLINK("http://www.eatonpowersource.com/products/configure/motors/details/103-1424-012","103-1424-012")</f>
        <v>103-1424-012</v>
      </c>
      <c r="B11673" s="8" t="s">
        <v>11253</v>
      </c>
    </row>
    <row r="11674" spans="1:2" x14ac:dyDescent="0.3">
      <c r="A11674" s="9" t="str">
        <f>HYPERLINK("http://www.eatonpowersource.com/products/configure/motors/details/103-1427-012","103-1427-012")</f>
        <v>103-1427-012</v>
      </c>
      <c r="B11674" s="10" t="s">
        <v>11254</v>
      </c>
    </row>
    <row r="11675" spans="1:2" x14ac:dyDescent="0.3">
      <c r="A11675" s="7" t="str">
        <f>HYPERLINK("http://www.eatonpowersource.com/products/configure/motors/details/103-1428-012","103-1428-012")</f>
        <v>103-1428-012</v>
      </c>
      <c r="B11675" s="8" t="s">
        <v>11255</v>
      </c>
    </row>
    <row r="11676" spans="1:2" x14ac:dyDescent="0.3">
      <c r="A11676" s="9" t="str">
        <f>HYPERLINK("http://www.eatonpowersource.com/products/configure/motors/details/103-1430-012","103-1430-012")</f>
        <v>103-1430-012</v>
      </c>
      <c r="B11676" s="10" t="s">
        <v>11256</v>
      </c>
    </row>
    <row r="11677" spans="1:2" x14ac:dyDescent="0.3">
      <c r="A11677" s="7" t="str">
        <f>HYPERLINK("http://www.eatonpowersource.com/products/configure/motors/details/103-1436-012","103-1436-012")</f>
        <v>103-1436-012</v>
      </c>
      <c r="B11677" s="8" t="s">
        <v>11257</v>
      </c>
    </row>
    <row r="11678" spans="1:2" x14ac:dyDescent="0.3">
      <c r="A11678" s="9" t="str">
        <f>HYPERLINK("http://www.eatonpowersource.com/products/configure/motors/details/103-1438-012","103-1438-012")</f>
        <v>103-1438-012</v>
      </c>
      <c r="B11678" s="10" t="s">
        <v>11258</v>
      </c>
    </row>
    <row r="11679" spans="1:2" x14ac:dyDescent="0.3">
      <c r="A11679" s="7" t="str">
        <f>HYPERLINK("http://www.eatonpowersource.com/products/configure/motors/details/103-1439-012","103-1439-012")</f>
        <v>103-1439-012</v>
      </c>
      <c r="B11679" s="8" t="s">
        <v>11259</v>
      </c>
    </row>
    <row r="11680" spans="1:2" x14ac:dyDescent="0.3">
      <c r="A11680" s="9" t="str">
        <f>HYPERLINK("http://www.eatonpowersource.com/products/configure/motors/details/103-1441-012","103-1441-012")</f>
        <v>103-1441-012</v>
      </c>
      <c r="B11680" s="10" t="s">
        <v>11260</v>
      </c>
    </row>
    <row r="11681" spans="1:2" x14ac:dyDescent="0.3">
      <c r="A11681" s="7" t="str">
        <f>HYPERLINK("http://www.eatonpowersource.com/products/configure/motors/details/103-1450-012","103-1450-012")</f>
        <v>103-1450-012</v>
      </c>
      <c r="B11681" s="8" t="s">
        <v>11261</v>
      </c>
    </row>
    <row r="11682" spans="1:2" x14ac:dyDescent="0.3">
      <c r="A11682" s="9" t="str">
        <f>HYPERLINK("http://www.eatonpowersource.com/products/configure/motors/details/103-1451-012","103-1451-012")</f>
        <v>103-1451-012</v>
      </c>
      <c r="B11682" s="10" t="s">
        <v>11262</v>
      </c>
    </row>
    <row r="11683" spans="1:2" x14ac:dyDescent="0.3">
      <c r="A11683" s="7" t="str">
        <f>HYPERLINK("http://www.eatonpowersource.com/products/configure/motors/details/103-1454-012","103-1454-012")</f>
        <v>103-1454-012</v>
      </c>
      <c r="B11683" s="8" t="s">
        <v>11263</v>
      </c>
    </row>
    <row r="11684" spans="1:2" x14ac:dyDescent="0.3">
      <c r="A11684" s="9" t="str">
        <f>HYPERLINK("http://www.eatonpowersource.com/products/configure/motors/details/103-1455-012","103-1455-012")</f>
        <v>103-1455-012</v>
      </c>
      <c r="B11684" s="10" t="s">
        <v>11264</v>
      </c>
    </row>
    <row r="11685" spans="1:2" x14ac:dyDescent="0.3">
      <c r="A11685" s="7" t="str">
        <f>HYPERLINK("http://www.eatonpowersource.com/products/configure/motors/details/103-1463-012","103-1463-012")</f>
        <v>103-1463-012</v>
      </c>
      <c r="B11685" s="8" t="s">
        <v>11265</v>
      </c>
    </row>
    <row r="11686" spans="1:2" x14ac:dyDescent="0.3">
      <c r="A11686" s="9" t="str">
        <f>HYPERLINK("http://www.eatonpowersource.com/products/configure/motors/details/103-1464-012","103-1464-012")</f>
        <v>103-1464-012</v>
      </c>
      <c r="B11686" s="10" t="s">
        <v>11266</v>
      </c>
    </row>
    <row r="11687" spans="1:2" x14ac:dyDescent="0.3">
      <c r="A11687" s="7" t="str">
        <f>HYPERLINK("http://www.eatonpowersource.com/products/configure/motors/details/103-1465-012","103-1465-012")</f>
        <v>103-1465-012</v>
      </c>
      <c r="B11687" s="8" t="s">
        <v>11267</v>
      </c>
    </row>
    <row r="11688" spans="1:2" x14ac:dyDescent="0.3">
      <c r="A11688" s="9" t="str">
        <f>HYPERLINK("http://www.eatonpowersource.com/products/configure/motors/details/103-1466-012","103-1466-012")</f>
        <v>103-1466-012</v>
      </c>
      <c r="B11688" s="10" t="s">
        <v>11268</v>
      </c>
    </row>
    <row r="11689" spans="1:2" x14ac:dyDescent="0.3">
      <c r="A11689" s="7" t="str">
        <f>HYPERLINK("http://www.eatonpowersource.com/products/configure/motors/details/103-1467-012","103-1467-012")</f>
        <v>103-1467-012</v>
      </c>
      <c r="B11689" s="8" t="s">
        <v>11269</v>
      </c>
    </row>
    <row r="11690" spans="1:2" x14ac:dyDescent="0.3">
      <c r="A11690" s="9" t="str">
        <f>HYPERLINK("http://www.eatonpowersource.com/products/configure/motors/details/103-1468-012","103-1468-012")</f>
        <v>103-1468-012</v>
      </c>
      <c r="B11690" s="10" t="s">
        <v>11270</v>
      </c>
    </row>
    <row r="11691" spans="1:2" x14ac:dyDescent="0.3">
      <c r="A11691" s="7" t="str">
        <f>HYPERLINK("http://www.eatonpowersource.com/products/configure/motors/details/103-1469-012","103-1469-012")</f>
        <v>103-1469-012</v>
      </c>
      <c r="B11691" s="8" t="s">
        <v>11271</v>
      </c>
    </row>
    <row r="11692" spans="1:2" x14ac:dyDescent="0.3">
      <c r="A11692" s="9" t="str">
        <f>HYPERLINK("http://www.eatonpowersource.com/products/configure/motors/details/103-1491-012","103-1491-012")</f>
        <v>103-1491-012</v>
      </c>
      <c r="B11692" s="10" t="s">
        <v>11272</v>
      </c>
    </row>
    <row r="11693" spans="1:2" x14ac:dyDescent="0.3">
      <c r="A11693" s="7" t="str">
        <f>HYPERLINK("http://www.eatonpowersource.com/products/configure/motors/details/103-1527-012","103-1527-012")</f>
        <v>103-1527-012</v>
      </c>
      <c r="B11693" s="8" t="s">
        <v>11273</v>
      </c>
    </row>
    <row r="11694" spans="1:2" x14ac:dyDescent="0.3">
      <c r="A11694" s="9" t="str">
        <f>HYPERLINK("http://www.eatonpowersource.com/products/configure/motors/details/103-1537-012","103-1537-012")</f>
        <v>103-1537-012</v>
      </c>
      <c r="B11694" s="10" t="s">
        <v>11274</v>
      </c>
    </row>
    <row r="11695" spans="1:2" x14ac:dyDescent="0.3">
      <c r="A11695" s="7" t="str">
        <f>HYPERLINK("http://www.eatonpowersource.com/products/configure/motors/details/103-1538-012","103-1538-012")</f>
        <v>103-1538-012</v>
      </c>
      <c r="B11695" s="8" t="s">
        <v>11275</v>
      </c>
    </row>
    <row r="11696" spans="1:2" x14ac:dyDescent="0.3">
      <c r="A11696" s="9" t="str">
        <f>HYPERLINK("http://www.eatonpowersource.com/products/configure/motors/details/103-1540-012","103-1540-012")</f>
        <v>103-1540-012</v>
      </c>
      <c r="B11696" s="10" t="s">
        <v>11276</v>
      </c>
    </row>
    <row r="11697" spans="1:2" x14ac:dyDescent="0.3">
      <c r="A11697" s="7" t="str">
        <f>HYPERLINK("http://www.eatonpowersource.com/products/configure/motors/details/103-1541-012","103-1541-012")</f>
        <v>103-1541-012</v>
      </c>
      <c r="B11697" s="8" t="s">
        <v>11277</v>
      </c>
    </row>
    <row r="11698" spans="1:2" x14ac:dyDescent="0.3">
      <c r="A11698" s="9" t="str">
        <f>HYPERLINK("http://www.eatonpowersource.com/products/configure/motors/details/103-1542-012","103-1542-012")</f>
        <v>103-1542-012</v>
      </c>
      <c r="B11698" s="10" t="s">
        <v>11278</v>
      </c>
    </row>
    <row r="11699" spans="1:2" x14ac:dyDescent="0.3">
      <c r="A11699" s="7" t="str">
        <f>HYPERLINK("http://www.eatonpowersource.com/products/configure/motors/details/103-1543-012","103-1543-012")</f>
        <v>103-1543-012</v>
      </c>
      <c r="B11699" s="8" t="s">
        <v>11279</v>
      </c>
    </row>
    <row r="11700" spans="1:2" x14ac:dyDescent="0.3">
      <c r="A11700" s="9" t="str">
        <f>HYPERLINK("http://www.eatonpowersource.com/products/configure/motors/details/103-1553-012","103-1553-012")</f>
        <v>103-1553-012</v>
      </c>
      <c r="B11700" s="10" t="s">
        <v>11280</v>
      </c>
    </row>
    <row r="11701" spans="1:2" x14ac:dyDescent="0.3">
      <c r="A11701" s="7" t="str">
        <f>HYPERLINK("http://www.eatonpowersource.com/products/configure/motors/details/103-1556-012","103-1556-012")</f>
        <v>103-1556-012</v>
      </c>
      <c r="B11701" s="8" t="s">
        <v>11281</v>
      </c>
    </row>
    <row r="11702" spans="1:2" x14ac:dyDescent="0.3">
      <c r="A11702" s="9" t="str">
        <f>HYPERLINK("http://www.eatonpowersource.com/products/configure/motors/details/103-1564-012","103-1564-012")</f>
        <v>103-1564-012</v>
      </c>
      <c r="B11702" s="10" t="s">
        <v>11282</v>
      </c>
    </row>
    <row r="11703" spans="1:2" x14ac:dyDescent="0.3">
      <c r="A11703" s="7" t="str">
        <f>HYPERLINK("http://www.eatonpowersource.com/products/configure/motors/details/103-1571-012","103-1571-012")</f>
        <v>103-1571-012</v>
      </c>
      <c r="B11703" s="8" t="s">
        <v>11283</v>
      </c>
    </row>
    <row r="11704" spans="1:2" x14ac:dyDescent="0.3">
      <c r="A11704" s="9" t="str">
        <f>HYPERLINK("http://www.eatonpowersource.com/products/configure/motors/details/103-1574-012","103-1574-012")</f>
        <v>103-1574-012</v>
      </c>
      <c r="B11704" s="10" t="s">
        <v>11284</v>
      </c>
    </row>
    <row r="11705" spans="1:2" x14ac:dyDescent="0.3">
      <c r="A11705" s="7" t="str">
        <f>HYPERLINK("http://www.eatonpowersource.com/products/configure/motors/details/103-1575-012","103-1575-012")</f>
        <v>103-1575-012</v>
      </c>
      <c r="B11705" s="8" t="s">
        <v>11285</v>
      </c>
    </row>
    <row r="11706" spans="1:2" x14ac:dyDescent="0.3">
      <c r="A11706" s="9" t="str">
        <f>HYPERLINK("http://www.eatonpowersource.com/products/configure/motors/details/103-1576-012","103-1576-012")</f>
        <v>103-1576-012</v>
      </c>
      <c r="B11706" s="10" t="s">
        <v>11286</v>
      </c>
    </row>
    <row r="11707" spans="1:2" x14ac:dyDescent="0.3">
      <c r="A11707" s="7" t="str">
        <f>HYPERLINK("http://www.eatonpowersource.com/products/configure/motors/details/103-1606-012","103-1606-012")</f>
        <v>103-1606-012</v>
      </c>
      <c r="B11707" s="8" t="s">
        <v>11287</v>
      </c>
    </row>
    <row r="11708" spans="1:2" x14ac:dyDescent="0.3">
      <c r="A11708" s="9" t="str">
        <f>HYPERLINK("http://www.eatonpowersource.com/products/configure/motors/details/103-1607-012","103-1607-012")</f>
        <v>103-1607-012</v>
      </c>
      <c r="B11708" s="10" t="s">
        <v>11288</v>
      </c>
    </row>
    <row r="11709" spans="1:2" x14ac:dyDescent="0.3">
      <c r="A11709" s="7" t="str">
        <f>HYPERLINK("http://www.eatonpowersource.com/products/configure/motors/details/103-1608-012","103-1608-012")</f>
        <v>103-1608-012</v>
      </c>
      <c r="B11709" s="8" t="s">
        <v>11289</v>
      </c>
    </row>
    <row r="11710" spans="1:2" x14ac:dyDescent="0.3">
      <c r="A11710" s="9" t="str">
        <f>HYPERLINK("http://www.eatonpowersource.com/products/configure/motors/details/103-1613-012","103-1613-012")</f>
        <v>103-1613-012</v>
      </c>
      <c r="B11710" s="10" t="s">
        <v>11290</v>
      </c>
    </row>
    <row r="11711" spans="1:2" x14ac:dyDescent="0.3">
      <c r="A11711" s="7" t="str">
        <f>HYPERLINK("http://www.eatonpowersource.com/products/configure/motors/details/103-1614-012","103-1614-012")</f>
        <v>103-1614-012</v>
      </c>
      <c r="B11711" s="8" t="s">
        <v>11291</v>
      </c>
    </row>
    <row r="11712" spans="1:2" x14ac:dyDescent="0.3">
      <c r="A11712" s="9" t="str">
        <f>HYPERLINK("http://www.eatonpowersource.com/products/configure/motors/details/103-1616-012","103-1616-012")</f>
        <v>103-1616-012</v>
      </c>
      <c r="B11712" s="10" t="s">
        <v>11292</v>
      </c>
    </row>
    <row r="11713" spans="1:2" x14ac:dyDescent="0.3">
      <c r="A11713" s="7" t="str">
        <f>HYPERLINK("http://www.eatonpowersource.com/products/configure/motors/details/103-1624-012","103-1624-012")</f>
        <v>103-1624-012</v>
      </c>
      <c r="B11713" s="8" t="s">
        <v>11293</v>
      </c>
    </row>
    <row r="11714" spans="1:2" x14ac:dyDescent="0.3">
      <c r="A11714" s="9" t="str">
        <f>HYPERLINK("http://www.eatonpowersource.com/products/configure/motors/details/103-1639-012","103-1639-012")</f>
        <v>103-1639-012</v>
      </c>
      <c r="B11714" s="10" t="s">
        <v>11294</v>
      </c>
    </row>
    <row r="11715" spans="1:2" x14ac:dyDescent="0.3">
      <c r="A11715" s="7" t="str">
        <f>HYPERLINK("http://www.eatonpowersource.com/products/configure/motors/details/103-1660-012","103-1660-012")</f>
        <v>103-1660-012</v>
      </c>
      <c r="B11715" s="8" t="s">
        <v>11295</v>
      </c>
    </row>
    <row r="11716" spans="1:2" x14ac:dyDescent="0.3">
      <c r="A11716" s="9" t="str">
        <f>HYPERLINK("http://www.eatonpowersource.com/products/configure/motors/details/103-1661-012","103-1661-012")</f>
        <v>103-1661-012</v>
      </c>
      <c r="B11716" s="10" t="s">
        <v>11296</v>
      </c>
    </row>
    <row r="11717" spans="1:2" x14ac:dyDescent="0.3">
      <c r="A11717" s="7" t="str">
        <f>HYPERLINK("http://www.eatonpowersource.com/products/configure/motors/details/103-1665-012","103-1665-012")</f>
        <v>103-1665-012</v>
      </c>
      <c r="B11717" s="8" t="s">
        <v>11297</v>
      </c>
    </row>
    <row r="11718" spans="1:2" x14ac:dyDescent="0.3">
      <c r="A11718" s="9" t="str">
        <f>HYPERLINK("http://www.eatonpowersource.com/products/configure/motors/details/103-2006-012","103-2006-012")</f>
        <v>103-2006-012</v>
      </c>
      <c r="B11718" s="10" t="s">
        <v>11298</v>
      </c>
    </row>
    <row r="11719" spans="1:2" x14ac:dyDescent="0.3">
      <c r="A11719" s="7" t="str">
        <f>HYPERLINK("http://www.eatonpowersource.com/products/configure/motors/details/103-2007-012","103-2007-012")</f>
        <v>103-2007-012</v>
      </c>
      <c r="B11719" s="8" t="s">
        <v>11299</v>
      </c>
    </row>
    <row r="11720" spans="1:2" x14ac:dyDescent="0.3">
      <c r="A11720" s="9" t="str">
        <f>HYPERLINK("http://www.eatonpowersource.com/products/configure/motors/details/103-2010-012","103-2010-012")</f>
        <v>103-2010-012</v>
      </c>
      <c r="B11720" s="10" t="s">
        <v>11300</v>
      </c>
    </row>
    <row r="11721" spans="1:2" x14ac:dyDescent="0.3">
      <c r="A11721" s="7" t="str">
        <f>HYPERLINK("http://www.eatonpowersource.com/products/configure/motors/details/103-2011-012","103-2011-012")</f>
        <v>103-2011-012</v>
      </c>
      <c r="B11721" s="8" t="s">
        <v>11301</v>
      </c>
    </row>
    <row r="11722" spans="1:2" x14ac:dyDescent="0.3">
      <c r="A11722" s="9" t="str">
        <f>HYPERLINK("http://www.eatonpowersource.com/products/configure/motors/details/103-2012-012","103-2012-012")</f>
        <v>103-2012-012</v>
      </c>
      <c r="B11722" s="10" t="s">
        <v>11302</v>
      </c>
    </row>
    <row r="11723" spans="1:2" x14ac:dyDescent="0.3">
      <c r="A11723" s="7" t="str">
        <f>HYPERLINK("http://www.eatonpowersource.com/products/configure/motors/details/103-2013-012","103-2013-012")</f>
        <v>103-2013-012</v>
      </c>
      <c r="B11723" s="8" t="s">
        <v>11303</v>
      </c>
    </row>
    <row r="11724" spans="1:2" x14ac:dyDescent="0.3">
      <c r="A11724" s="9" t="str">
        <f>HYPERLINK("http://www.eatonpowersource.com/products/configure/motors/details/103-2014-012","103-2014-012")</f>
        <v>103-2014-012</v>
      </c>
      <c r="B11724" s="10" t="s">
        <v>11304</v>
      </c>
    </row>
    <row r="11725" spans="1:2" x14ac:dyDescent="0.3">
      <c r="A11725" s="7" t="str">
        <f>HYPERLINK("http://www.eatonpowersource.com/products/configure/motors/details/103-2015-012","103-2015-012")</f>
        <v>103-2015-012</v>
      </c>
      <c r="B11725" s="8" t="s">
        <v>11305</v>
      </c>
    </row>
    <row r="11726" spans="1:2" x14ac:dyDescent="0.3">
      <c r="A11726" s="9" t="str">
        <f>HYPERLINK("http://www.eatonpowersource.com/products/configure/motors/details/103-2016-012","103-2016-012")</f>
        <v>103-2016-012</v>
      </c>
      <c r="B11726" s="10" t="s">
        <v>11306</v>
      </c>
    </row>
    <row r="11727" spans="1:2" x14ac:dyDescent="0.3">
      <c r="A11727" s="7" t="str">
        <f>HYPERLINK("http://www.eatonpowersource.com/products/configure/motors/details/103-2020-012","103-2020-012")</f>
        <v>103-2020-012</v>
      </c>
      <c r="B11727" s="8" t="s">
        <v>11307</v>
      </c>
    </row>
    <row r="11728" spans="1:2" x14ac:dyDescent="0.3">
      <c r="A11728" s="9" t="str">
        <f>HYPERLINK("http://www.eatonpowersource.com/products/configure/motors/details/103-2024-012","103-2024-012")</f>
        <v>103-2024-012</v>
      </c>
      <c r="B11728" s="10" t="s">
        <v>11308</v>
      </c>
    </row>
    <row r="11729" spans="1:2" x14ac:dyDescent="0.3">
      <c r="A11729" s="7" t="str">
        <f>HYPERLINK("http://www.eatonpowersource.com/products/configure/motors/details/103-2026-012","103-2026-012")</f>
        <v>103-2026-012</v>
      </c>
      <c r="B11729" s="8" t="s">
        <v>11309</v>
      </c>
    </row>
    <row r="11730" spans="1:2" x14ac:dyDescent="0.3">
      <c r="A11730" s="9" t="str">
        <f>HYPERLINK("http://www.eatonpowersource.com/products/configure/motors/details/103-2028-012","103-2028-012")</f>
        <v>103-2028-012</v>
      </c>
      <c r="B11730" s="10" t="s">
        <v>11310</v>
      </c>
    </row>
    <row r="11731" spans="1:2" x14ac:dyDescent="0.3">
      <c r="A11731" s="7" t="str">
        <f>HYPERLINK("http://www.eatonpowersource.com/products/configure/motors/details/103-2030-012","103-2030-012")</f>
        <v>103-2030-012</v>
      </c>
      <c r="B11731" s="8" t="s">
        <v>11311</v>
      </c>
    </row>
    <row r="11732" spans="1:2" x14ac:dyDescent="0.3">
      <c r="A11732" s="9" t="str">
        <f>HYPERLINK("http://www.eatonpowersource.com/products/configure/motors/details/103-2035-012","103-2035-012")</f>
        <v>103-2035-012</v>
      </c>
      <c r="B11732" s="10" t="s">
        <v>11312</v>
      </c>
    </row>
    <row r="11733" spans="1:2" x14ac:dyDescent="0.3">
      <c r="A11733" s="7" t="str">
        <f>HYPERLINK("http://www.eatonpowersource.com/products/configure/motors/details/103-2036-012","103-2036-012")</f>
        <v>103-2036-012</v>
      </c>
      <c r="B11733" s="8" t="s">
        <v>11313</v>
      </c>
    </row>
    <row r="11734" spans="1:2" x14ac:dyDescent="0.3">
      <c r="A11734" s="9" t="str">
        <f>HYPERLINK("http://www.eatonpowersource.com/products/configure/motors/details/103-2037-012","103-2037-012")</f>
        <v>103-2037-012</v>
      </c>
      <c r="B11734" s="10" t="s">
        <v>11314</v>
      </c>
    </row>
    <row r="11735" spans="1:2" x14ac:dyDescent="0.3">
      <c r="A11735" s="7" t="str">
        <f>HYPERLINK("http://www.eatonpowersource.com/products/configure/motors/details/103-2038-012","103-2038-012")</f>
        <v>103-2038-012</v>
      </c>
      <c r="B11735" s="8" t="s">
        <v>11315</v>
      </c>
    </row>
    <row r="11736" spans="1:2" x14ac:dyDescent="0.3">
      <c r="A11736" s="9" t="str">
        <f>HYPERLINK("http://www.eatonpowersource.com/products/configure/motors/details/103-2039-012","103-2039-012")</f>
        <v>103-2039-012</v>
      </c>
      <c r="B11736" s="10" t="s">
        <v>11316</v>
      </c>
    </row>
    <row r="11737" spans="1:2" x14ac:dyDescent="0.3">
      <c r="A11737" s="7" t="str">
        <f>HYPERLINK("http://www.eatonpowersource.com/products/configure/motors/details/103-2040-012","103-2040-012")</f>
        <v>103-2040-012</v>
      </c>
      <c r="B11737" s="8" t="s">
        <v>11317</v>
      </c>
    </row>
    <row r="11738" spans="1:2" x14ac:dyDescent="0.3">
      <c r="A11738" s="9" t="str">
        <f>HYPERLINK("http://www.eatonpowersource.com/products/configure/motors/details/103-2080-012","103-2080-012")</f>
        <v>103-2080-012</v>
      </c>
      <c r="B11738" s="10" t="s">
        <v>11318</v>
      </c>
    </row>
    <row r="11739" spans="1:2" x14ac:dyDescent="0.3">
      <c r="A11739" s="7" t="str">
        <f>HYPERLINK("http://www.eatonpowersource.com/products/configure/motors/details/103-2084-012","103-2084-012")</f>
        <v>103-2084-012</v>
      </c>
      <c r="B11739" s="8" t="s">
        <v>11319</v>
      </c>
    </row>
    <row r="11740" spans="1:2" x14ac:dyDescent="0.3">
      <c r="A11740" s="9" t="str">
        <f>HYPERLINK("http://www.eatonpowersource.com/products/configure/motors/details/103-2088-012","103-2088-012")</f>
        <v>103-2088-012</v>
      </c>
      <c r="B11740" s="10" t="s">
        <v>11320</v>
      </c>
    </row>
    <row r="11741" spans="1:2" x14ac:dyDescent="0.3">
      <c r="A11741" s="7" t="str">
        <f>HYPERLINK("http://www.eatonpowersource.com/products/configure/motors/details/103-2099-012","103-2099-012")</f>
        <v>103-2099-012</v>
      </c>
      <c r="B11741" s="8" t="s">
        <v>11321</v>
      </c>
    </row>
    <row r="11742" spans="1:2" x14ac:dyDescent="0.3">
      <c r="A11742" s="9" t="str">
        <f>HYPERLINK("http://www.eatonpowersource.com/products/configure/motors/details/103-2407-012","103-2407-012")</f>
        <v>103-2407-012</v>
      </c>
      <c r="B11742" s="10" t="s">
        <v>11322</v>
      </c>
    </row>
    <row r="11743" spans="1:2" x14ac:dyDescent="0.3">
      <c r="A11743" s="7" t="str">
        <f>HYPERLINK("http://www.eatonpowersource.com/products/configure/motors/details/103-2690-012","103-2690-012")</f>
        <v>103-2690-012</v>
      </c>
      <c r="B11743" s="8" t="s">
        <v>11323</v>
      </c>
    </row>
    <row r="11744" spans="1:2" x14ac:dyDescent="0.3">
      <c r="A11744" s="9" t="str">
        <f>HYPERLINK("http://www.eatonpowersource.com/products/configure/motors/details/103-2691-012","103-2691-012")</f>
        <v>103-2691-012</v>
      </c>
      <c r="B11744" s="10" t="s">
        <v>11324</v>
      </c>
    </row>
    <row r="11745" spans="1:2" x14ac:dyDescent="0.3">
      <c r="A11745" s="7" t="str">
        <f>HYPERLINK("http://www.eatonpowersource.com/products/configure/motors/details/103-2718-012","103-2718-012")</f>
        <v>103-2718-012</v>
      </c>
      <c r="B11745" s="8" t="s">
        <v>11325</v>
      </c>
    </row>
    <row r="11746" spans="1:2" x14ac:dyDescent="0.3">
      <c r="A11746" s="9" t="str">
        <f>HYPERLINK("http://www.eatonpowersource.com/products/configure/motors/details/103-2724-012","103-2724-012")</f>
        <v>103-2724-012</v>
      </c>
      <c r="B11746" s="10" t="s">
        <v>11326</v>
      </c>
    </row>
    <row r="11747" spans="1:2" x14ac:dyDescent="0.3">
      <c r="A11747" s="7" t="str">
        <f>HYPERLINK("http://www.eatonpowersource.com/products/configure/motors/details/103-2727-012","103-2727-012")</f>
        <v>103-2727-012</v>
      </c>
      <c r="B11747" s="8" t="s">
        <v>11327</v>
      </c>
    </row>
    <row r="11748" spans="1:2" x14ac:dyDescent="0.3">
      <c r="A11748" s="9" t="str">
        <f>HYPERLINK("http://www.eatonpowersource.com/products/configure/motors/details/103-2735-012","103-2735-012")</f>
        <v>103-2735-012</v>
      </c>
      <c r="B11748" s="10" t="s">
        <v>11328</v>
      </c>
    </row>
    <row r="11749" spans="1:2" x14ac:dyDescent="0.3">
      <c r="A11749" s="7" t="str">
        <f>HYPERLINK("http://www.eatonpowersource.com/products/configure/motors/details/103-2745-012","103-2745-012")</f>
        <v>103-2745-012</v>
      </c>
      <c r="B11749" s="8" t="s">
        <v>11329</v>
      </c>
    </row>
    <row r="11750" spans="1:2" x14ac:dyDescent="0.3">
      <c r="A11750" s="9" t="str">
        <f>HYPERLINK("http://www.eatonpowersource.com/products/configure/motors/details/103-2811-012","103-2811-012")</f>
        <v>103-2811-012</v>
      </c>
      <c r="B11750" s="10" t="s">
        <v>11330</v>
      </c>
    </row>
    <row r="11751" spans="1:2" x14ac:dyDescent="0.3">
      <c r="A11751" s="7" t="str">
        <f>HYPERLINK("http://www.eatonpowersource.com/products/configure/motors/details/103-2932-012","103-2932-012")</f>
        <v>103-2932-012</v>
      </c>
      <c r="B11751" s="8" t="s">
        <v>11331</v>
      </c>
    </row>
    <row r="11752" spans="1:2" x14ac:dyDescent="0.3">
      <c r="A11752" s="9" t="str">
        <f>HYPERLINK("http://www.eatonpowersource.com/products/configure/motors/details/103-3077-012","103-3077-012")</f>
        <v>103-3077-012</v>
      </c>
      <c r="B11752" s="10" t="s">
        <v>11332</v>
      </c>
    </row>
    <row r="11753" spans="1:2" x14ac:dyDescent="0.3">
      <c r="A11753" s="7" t="str">
        <f>HYPERLINK("http://www.eatonpowersource.com/products/configure/motors/details/103-3085-012","103-3085-012")</f>
        <v>103-3085-012</v>
      </c>
      <c r="B11753" s="8" t="s">
        <v>11333</v>
      </c>
    </row>
    <row r="11754" spans="1:2" x14ac:dyDescent="0.3">
      <c r="A11754" s="9" t="str">
        <f>HYPERLINK("http://www.eatonpowersource.com/products/configure/motors/details/103-3123-012","103-3123-012")</f>
        <v>103-3123-012</v>
      </c>
      <c r="B11754" s="10" t="s">
        <v>11334</v>
      </c>
    </row>
    <row r="11755" spans="1:2" x14ac:dyDescent="0.3">
      <c r="A11755" s="7" t="str">
        <f>HYPERLINK("http://www.eatonpowersource.com/products/configure/motors/details/103-3163-012","103-3163-012")</f>
        <v>103-3163-012</v>
      </c>
      <c r="B11755" s="8" t="s">
        <v>11335</v>
      </c>
    </row>
    <row r="11756" spans="1:2" x14ac:dyDescent="0.3">
      <c r="A11756" s="9" t="str">
        <f>HYPERLINK("http://www.eatonpowersource.com/products/configure/motors/details/103-3172-012","103-3172-012")</f>
        <v>103-3172-012</v>
      </c>
      <c r="B11756" s="10" t="s">
        <v>11336</v>
      </c>
    </row>
    <row r="11757" spans="1:2" x14ac:dyDescent="0.3">
      <c r="A11757" s="7" t="str">
        <f>HYPERLINK("http://www.eatonpowersource.com/products/configure/motors/details/103-3185-012","103-3185-012")</f>
        <v>103-3185-012</v>
      </c>
      <c r="B11757" s="8" t="s">
        <v>11337</v>
      </c>
    </row>
    <row r="11758" spans="1:2" x14ac:dyDescent="0.3">
      <c r="A11758" s="9" t="str">
        <f>HYPERLINK("http://www.eatonpowersource.com/products/configure/motors/details/103-3189-012","103-3189-012")</f>
        <v>103-3189-012</v>
      </c>
      <c r="B11758" s="10" t="s">
        <v>11338</v>
      </c>
    </row>
    <row r="11759" spans="1:2" x14ac:dyDescent="0.3">
      <c r="A11759" s="7" t="str">
        <f>HYPERLINK("http://www.eatonpowersource.com/products/configure/motors/details/103-3191-012","103-3191-012")</f>
        <v>103-3191-012</v>
      </c>
      <c r="B11759" s="8" t="s">
        <v>11339</v>
      </c>
    </row>
    <row r="11760" spans="1:2" x14ac:dyDescent="0.3">
      <c r="A11760" s="9" t="str">
        <f>HYPERLINK("http://www.eatonpowersource.com/products/configure/motors/details/103-3214-012","103-3214-012")</f>
        <v>103-3214-012</v>
      </c>
      <c r="B11760" s="10" t="s">
        <v>11340</v>
      </c>
    </row>
    <row r="11761" spans="1:2" x14ac:dyDescent="0.3">
      <c r="A11761" s="7" t="str">
        <f>HYPERLINK("http://www.eatonpowersource.com/products/configure/motors/details/103-3230-012","103-3230-012")</f>
        <v>103-3230-012</v>
      </c>
      <c r="B11761" s="8" t="s">
        <v>11341</v>
      </c>
    </row>
    <row r="11762" spans="1:2" x14ac:dyDescent="0.3">
      <c r="A11762" s="9" t="str">
        <f>HYPERLINK("http://www.eatonpowersource.com/products/configure/motors/details/103-3278-012","103-3278-012")</f>
        <v>103-3278-012</v>
      </c>
      <c r="B11762" s="10" t="s">
        <v>11342</v>
      </c>
    </row>
    <row r="11763" spans="1:2" x14ac:dyDescent="0.3">
      <c r="A11763" s="7" t="str">
        <f>HYPERLINK("http://www.eatonpowersource.com/products/configure/motors/details/103-3342-012","103-3342-012")</f>
        <v>103-3342-012</v>
      </c>
      <c r="B11763" s="8" t="s">
        <v>11343</v>
      </c>
    </row>
    <row r="11764" spans="1:2" x14ac:dyDescent="0.3">
      <c r="A11764" s="9" t="str">
        <f>HYPERLINK("http://www.eatonpowersource.com/products/configure/motors/details/103-3349-012","103-3349-012")</f>
        <v>103-3349-012</v>
      </c>
      <c r="B11764" s="10" t="s">
        <v>11344</v>
      </c>
    </row>
    <row r="11765" spans="1:2" x14ac:dyDescent="0.3">
      <c r="A11765" s="7" t="str">
        <f>HYPERLINK("http://www.eatonpowersource.com/products/configure/motors/details/103-3354-012","103-3354-012")</f>
        <v>103-3354-012</v>
      </c>
      <c r="B11765" s="8" t="s">
        <v>11345</v>
      </c>
    </row>
    <row r="11766" spans="1:2" x14ac:dyDescent="0.3">
      <c r="A11766" s="9" t="str">
        <f>HYPERLINK("http://www.eatonpowersource.com/products/configure/motors/details/103-3364-012","103-3364-012")</f>
        <v>103-3364-012</v>
      </c>
      <c r="B11766" s="10" t="s">
        <v>11346</v>
      </c>
    </row>
    <row r="11767" spans="1:2" x14ac:dyDescent="0.3">
      <c r="A11767" s="7" t="str">
        <f>HYPERLINK("http://www.eatonpowersource.com/products/configure/motors/details/103-3365-012","103-3365-012")</f>
        <v>103-3365-012</v>
      </c>
      <c r="B11767" s="8" t="s">
        <v>11347</v>
      </c>
    </row>
    <row r="11768" spans="1:2" x14ac:dyDescent="0.3">
      <c r="A11768" s="9" t="str">
        <f>HYPERLINK("http://www.eatonpowersource.com/products/configure/motors/details/103-3374-012","103-3374-012")</f>
        <v>103-3374-012</v>
      </c>
      <c r="B11768" s="10" t="s">
        <v>11348</v>
      </c>
    </row>
    <row r="11769" spans="1:2" x14ac:dyDescent="0.3">
      <c r="A11769" s="7" t="str">
        <f>HYPERLINK("http://www.eatonpowersource.com/products/configure/motors/details/103-3380-012","103-3380-012")</f>
        <v>103-3380-012</v>
      </c>
      <c r="B11769" s="8" t="s">
        <v>11349</v>
      </c>
    </row>
    <row r="11770" spans="1:2" x14ac:dyDescent="0.3">
      <c r="A11770" s="9" t="str">
        <f>HYPERLINK("http://www.eatonpowersource.com/products/configure/motors/details/103-3418-012","103-3418-012")</f>
        <v>103-3418-012</v>
      </c>
      <c r="B11770" s="10" t="s">
        <v>11350</v>
      </c>
    </row>
    <row r="11771" spans="1:2" x14ac:dyDescent="0.3">
      <c r="A11771" s="7" t="str">
        <f>HYPERLINK("http://www.eatonpowersource.com/products/configure/motors/details/103-3432-012","103-3432-012")</f>
        <v>103-3432-012</v>
      </c>
      <c r="B11771" s="8" t="s">
        <v>11351</v>
      </c>
    </row>
    <row r="11772" spans="1:2" x14ac:dyDescent="0.3">
      <c r="A11772" s="9" t="str">
        <f>HYPERLINK("http://www.eatonpowersource.com/products/configure/motors/details/103-3469-012","103-3469-012")</f>
        <v>103-3469-012</v>
      </c>
      <c r="B11772" s="10" t="s">
        <v>11352</v>
      </c>
    </row>
    <row r="11773" spans="1:2" x14ac:dyDescent="0.3">
      <c r="A11773" s="7" t="str">
        <f>HYPERLINK("http://www.eatonpowersource.com/products/configure/motors/details/103-3474-012","103-3474-012")</f>
        <v>103-3474-012</v>
      </c>
      <c r="B11773" s="8" t="s">
        <v>11353</v>
      </c>
    </row>
    <row r="11774" spans="1:2" x14ac:dyDescent="0.3">
      <c r="A11774" s="9" t="str">
        <f>HYPERLINK("http://www.eatonpowersource.com/products/configure/motors/details/103-3543-012","103-3543-012")</f>
        <v>103-3543-012</v>
      </c>
      <c r="B11774" s="10" t="s">
        <v>11354</v>
      </c>
    </row>
    <row r="11775" spans="1:2" x14ac:dyDescent="0.3">
      <c r="A11775" s="7" t="str">
        <f>HYPERLINK("http://www.eatonpowersource.com/products/configure/motors/details/103-3575-012","103-3575-012")</f>
        <v>103-3575-012</v>
      </c>
      <c r="B11775" s="8" t="s">
        <v>11355</v>
      </c>
    </row>
    <row r="11776" spans="1:2" x14ac:dyDescent="0.3">
      <c r="A11776" s="9" t="str">
        <f>HYPERLINK("http://www.eatonpowersource.com/products/configure/motors/details/103-3604-012","103-3604-012")</f>
        <v>103-3604-012</v>
      </c>
      <c r="B11776" s="10" t="s">
        <v>11356</v>
      </c>
    </row>
    <row r="11777" spans="1:2" x14ac:dyDescent="0.3">
      <c r="A11777" s="7" t="str">
        <f>HYPERLINK("http://www.eatonpowersource.com/products/configure/motors/details/158-1003-001","158-1003-001")</f>
        <v>158-1003-001</v>
      </c>
      <c r="B11777" s="8" t="s">
        <v>11357</v>
      </c>
    </row>
    <row r="11778" spans="1:2" x14ac:dyDescent="0.3">
      <c r="A11778" s="9" t="str">
        <f>HYPERLINK("http://www.eatonpowersource.com/products/configure/motors/details/158-1005-001","158-1005-001")</f>
        <v>158-1005-001</v>
      </c>
      <c r="B11778" s="10" t="s">
        <v>11358</v>
      </c>
    </row>
    <row r="11779" spans="1:2" x14ac:dyDescent="0.3">
      <c r="A11779" s="7" t="str">
        <f>HYPERLINK("http://www.eatonpowersource.com/products/configure/motors/details/158-1006-001","158-1006-001")</f>
        <v>158-1006-001</v>
      </c>
      <c r="B11779" s="8" t="s">
        <v>11359</v>
      </c>
    </row>
    <row r="11780" spans="1:2" x14ac:dyDescent="0.3">
      <c r="A11780" s="9" t="str">
        <f>HYPERLINK("http://www.eatonpowersource.com/products/configure/motors/details/158-1008-001","158-1008-001")</f>
        <v>158-1008-001</v>
      </c>
      <c r="B11780" s="10" t="s">
        <v>11360</v>
      </c>
    </row>
    <row r="11781" spans="1:2" x14ac:dyDescent="0.3">
      <c r="A11781" s="7" t="str">
        <f>HYPERLINK("http://www.eatonpowersource.com/products/configure/motors/details/158-1010-001","158-1010-001")</f>
        <v>158-1010-001</v>
      </c>
      <c r="B11781" s="8" t="s">
        <v>11361</v>
      </c>
    </row>
    <row r="11782" spans="1:2" x14ac:dyDescent="0.3">
      <c r="A11782" s="9" t="str">
        <f>HYPERLINK("http://www.eatonpowersource.com/products/configure/motors/details/158-1011-001","158-1011-001")</f>
        <v>158-1011-001</v>
      </c>
      <c r="B11782" s="10" t="s">
        <v>11362</v>
      </c>
    </row>
    <row r="11783" spans="1:2" x14ac:dyDescent="0.3">
      <c r="A11783" s="7" t="str">
        <f>HYPERLINK("http://www.eatonpowersource.com/products/configure/motors/details/158-1012-001","158-1012-001")</f>
        <v>158-1012-001</v>
      </c>
      <c r="B11783" s="8" t="s">
        <v>11363</v>
      </c>
    </row>
    <row r="11784" spans="1:2" x14ac:dyDescent="0.3">
      <c r="A11784" s="9" t="str">
        <f>HYPERLINK("http://www.eatonpowersource.com/products/configure/motors/details/158-1013-001","158-1013-001")</f>
        <v>158-1013-001</v>
      </c>
      <c r="B11784" s="10" t="s">
        <v>11364</v>
      </c>
    </row>
    <row r="11785" spans="1:2" x14ac:dyDescent="0.3">
      <c r="A11785" s="7" t="str">
        <f>HYPERLINK("http://www.eatonpowersource.com/products/configure/motors/details/158-1014-001","158-1014-001")</f>
        <v>158-1014-001</v>
      </c>
      <c r="B11785" s="8" t="s">
        <v>11365</v>
      </c>
    </row>
    <row r="11786" spans="1:2" x14ac:dyDescent="0.3">
      <c r="A11786" s="9" t="str">
        <f>HYPERLINK("http://www.eatonpowersource.com/products/configure/motors/details/158-1015-001","158-1015-001")</f>
        <v>158-1015-001</v>
      </c>
      <c r="B11786" s="10" t="s">
        <v>11366</v>
      </c>
    </row>
    <row r="11787" spans="1:2" x14ac:dyDescent="0.3">
      <c r="A11787" s="7" t="str">
        <f>HYPERLINK("http://www.eatonpowersource.com/products/configure/motors/details/158-1016-001","158-1016-001")</f>
        <v>158-1016-001</v>
      </c>
      <c r="B11787" s="8" t="s">
        <v>11367</v>
      </c>
    </row>
    <row r="11788" spans="1:2" x14ac:dyDescent="0.3">
      <c r="A11788" s="9" t="str">
        <f>HYPERLINK("http://www.eatonpowersource.com/products/configure/motors/details/158-1018-001","158-1018-001")</f>
        <v>158-1018-001</v>
      </c>
      <c r="B11788" s="10" t="s">
        <v>11368</v>
      </c>
    </row>
    <row r="11789" spans="1:2" x14ac:dyDescent="0.3">
      <c r="A11789" s="7" t="str">
        <f>HYPERLINK("http://www.eatonpowersource.com/products/configure/motors/details/158-1021-001","158-1021-001")</f>
        <v>158-1021-001</v>
      </c>
      <c r="B11789" s="8" t="s">
        <v>11369</v>
      </c>
    </row>
    <row r="11790" spans="1:2" x14ac:dyDescent="0.3">
      <c r="A11790" s="9" t="str">
        <f>HYPERLINK("http://www.eatonpowersource.com/products/configure/motors/details/158-1024-001","158-1024-001")</f>
        <v>158-1024-001</v>
      </c>
      <c r="B11790" s="10" t="s">
        <v>11370</v>
      </c>
    </row>
    <row r="11791" spans="1:2" x14ac:dyDescent="0.3">
      <c r="A11791" s="7" t="str">
        <f>HYPERLINK("http://www.eatonpowersource.com/products/configure/motors/details/158-1026-001","158-1026-001")</f>
        <v>158-1026-001</v>
      </c>
      <c r="B11791" s="8" t="s">
        <v>11371</v>
      </c>
    </row>
    <row r="11792" spans="1:2" x14ac:dyDescent="0.3">
      <c r="A11792" s="9" t="str">
        <f>HYPERLINK("http://www.eatonpowersource.com/products/configure/motors/details/158-1027-001","158-1027-001")</f>
        <v>158-1027-001</v>
      </c>
      <c r="B11792" s="10" t="s">
        <v>11372</v>
      </c>
    </row>
    <row r="11793" spans="1:2" x14ac:dyDescent="0.3">
      <c r="A11793" s="7" t="str">
        <f>HYPERLINK("http://www.eatonpowersource.com/products/configure/motors/details/158-1028-001","158-1028-001")</f>
        <v>158-1028-001</v>
      </c>
      <c r="B11793" s="8" t="s">
        <v>11373</v>
      </c>
    </row>
    <row r="11794" spans="1:2" x14ac:dyDescent="0.3">
      <c r="A11794" s="9" t="str">
        <f>HYPERLINK("http://www.eatonpowersource.com/products/configure/motors/details/158-1029-001","158-1029-001")</f>
        <v>158-1029-001</v>
      </c>
      <c r="B11794" s="10" t="s">
        <v>11374</v>
      </c>
    </row>
    <row r="11795" spans="1:2" x14ac:dyDescent="0.3">
      <c r="A11795" s="7" t="str">
        <f>HYPERLINK("http://www.eatonpowersource.com/products/configure/motors/details/158-1030-001","158-1030-001")</f>
        <v>158-1030-001</v>
      </c>
      <c r="B11795" s="8" t="s">
        <v>11375</v>
      </c>
    </row>
    <row r="11796" spans="1:2" x14ac:dyDescent="0.3">
      <c r="A11796" s="9" t="str">
        <f>HYPERLINK("http://www.eatonpowersource.com/products/configure/motors/details/158-1034-001","158-1034-001")</f>
        <v>158-1034-001</v>
      </c>
      <c r="B11796" s="10" t="s">
        <v>11376</v>
      </c>
    </row>
    <row r="11797" spans="1:2" x14ac:dyDescent="0.3">
      <c r="A11797" s="7" t="str">
        <f>HYPERLINK("http://www.eatonpowersource.com/products/configure/motors/details/158-1035-001","158-1035-001")</f>
        <v>158-1035-001</v>
      </c>
      <c r="B11797" s="8" t="s">
        <v>11377</v>
      </c>
    </row>
    <row r="11798" spans="1:2" x14ac:dyDescent="0.3">
      <c r="A11798" s="9" t="str">
        <f>HYPERLINK("http://www.eatonpowersource.com/products/configure/motors/details/158-1036-001","158-1036-001")</f>
        <v>158-1036-001</v>
      </c>
      <c r="B11798" s="10" t="s">
        <v>11378</v>
      </c>
    </row>
    <row r="11799" spans="1:2" x14ac:dyDescent="0.3">
      <c r="A11799" s="7" t="str">
        <f>HYPERLINK("http://www.eatonpowersource.com/products/configure/motors/details/158-1037-001","158-1037-001")</f>
        <v>158-1037-001</v>
      </c>
      <c r="B11799" s="8" t="s">
        <v>11379</v>
      </c>
    </row>
    <row r="11800" spans="1:2" x14ac:dyDescent="0.3">
      <c r="A11800" s="9" t="str">
        <f>HYPERLINK("http://www.eatonpowersource.com/products/configure/motors/details/158-1038-001","158-1038-001")</f>
        <v>158-1038-001</v>
      </c>
      <c r="B11800" s="10" t="s">
        <v>11380</v>
      </c>
    </row>
    <row r="11801" spans="1:2" x14ac:dyDescent="0.3">
      <c r="A11801" s="7" t="str">
        <f>HYPERLINK("http://www.eatonpowersource.com/products/configure/motors/details/158-1039-001","158-1039-001")</f>
        <v>158-1039-001</v>
      </c>
      <c r="B11801" s="8" t="s">
        <v>11381</v>
      </c>
    </row>
    <row r="11802" spans="1:2" x14ac:dyDescent="0.3">
      <c r="A11802" s="9" t="str">
        <f>HYPERLINK("http://www.eatonpowersource.com/products/configure/motors/details/158-1040-001","158-1040-001")</f>
        <v>158-1040-001</v>
      </c>
      <c r="B11802" s="10" t="s">
        <v>11382</v>
      </c>
    </row>
    <row r="11803" spans="1:2" x14ac:dyDescent="0.3">
      <c r="A11803" s="7" t="str">
        <f>HYPERLINK("http://www.eatonpowersource.com/products/configure/motors/details/158-1042-001","158-1042-001")</f>
        <v>158-1042-001</v>
      </c>
      <c r="B11803" s="8" t="s">
        <v>11383</v>
      </c>
    </row>
    <row r="11804" spans="1:2" x14ac:dyDescent="0.3">
      <c r="A11804" s="9" t="str">
        <f>HYPERLINK("http://www.eatonpowersource.com/products/configure/motors/details/158-1048-001","158-1048-001")</f>
        <v>158-1048-001</v>
      </c>
      <c r="B11804" s="10" t="s">
        <v>11384</v>
      </c>
    </row>
    <row r="11805" spans="1:2" x14ac:dyDescent="0.3">
      <c r="A11805" s="7" t="str">
        <f>HYPERLINK("http://www.eatonpowersource.com/products/configure/motors/details/158-1058-001","158-1058-001")</f>
        <v>158-1058-001</v>
      </c>
      <c r="B11805" s="8" t="s">
        <v>11385</v>
      </c>
    </row>
    <row r="11806" spans="1:2" x14ac:dyDescent="0.3">
      <c r="A11806" s="9" t="str">
        <f>HYPERLINK("http://www.eatonpowersource.com/products/configure/motors/details/158-1062-001","158-1062-001")</f>
        <v>158-1062-001</v>
      </c>
      <c r="B11806" s="10" t="s">
        <v>11386</v>
      </c>
    </row>
    <row r="11807" spans="1:2" x14ac:dyDescent="0.3">
      <c r="A11807" s="7" t="str">
        <f>HYPERLINK("http://www.eatonpowersource.com/products/configure/motors/details/158-1069-001","158-1069-001")</f>
        <v>158-1069-001</v>
      </c>
      <c r="B11807" s="8" t="s">
        <v>11387</v>
      </c>
    </row>
    <row r="11808" spans="1:2" x14ac:dyDescent="0.3">
      <c r="A11808" s="9" t="str">
        <f>HYPERLINK("http://www.eatonpowersource.com/products/configure/motors/details/158-1071-001","158-1071-001")</f>
        <v>158-1071-001</v>
      </c>
      <c r="B11808" s="10" t="s">
        <v>11388</v>
      </c>
    </row>
    <row r="11809" spans="1:2" x14ac:dyDescent="0.3">
      <c r="A11809" s="7" t="str">
        <f>HYPERLINK("http://www.eatonpowersource.com/products/configure/motors/details/158-1076-001","158-1076-001")</f>
        <v>158-1076-001</v>
      </c>
      <c r="B11809" s="8" t="s">
        <v>11389</v>
      </c>
    </row>
    <row r="11810" spans="1:2" x14ac:dyDescent="0.3">
      <c r="A11810" s="9" t="str">
        <f>HYPERLINK("http://www.eatonpowersource.com/products/configure/motors/details/158-1083-001","158-1083-001")</f>
        <v>158-1083-001</v>
      </c>
      <c r="B11810" s="10" t="s">
        <v>11390</v>
      </c>
    </row>
    <row r="11811" spans="1:2" x14ac:dyDescent="0.3">
      <c r="A11811" s="7" t="str">
        <f>HYPERLINK("http://www.eatonpowersource.com/products/configure/motors/details/158-1085-001","158-1085-001")</f>
        <v>158-1085-001</v>
      </c>
      <c r="B11811" s="8" t="s">
        <v>11391</v>
      </c>
    </row>
    <row r="11812" spans="1:2" x14ac:dyDescent="0.3">
      <c r="A11812" s="9" t="str">
        <f>HYPERLINK("http://www.eatonpowersource.com/products/configure/motors/details/158-1087-001","158-1087-001")</f>
        <v>158-1087-001</v>
      </c>
      <c r="B11812" s="10" t="s">
        <v>11392</v>
      </c>
    </row>
    <row r="11813" spans="1:2" x14ac:dyDescent="0.3">
      <c r="A11813" s="7" t="str">
        <f>HYPERLINK("http://www.eatonpowersource.com/products/configure/motors/details/158-1088-001","158-1088-001")</f>
        <v>158-1088-001</v>
      </c>
      <c r="B11813" s="8" t="s">
        <v>11393</v>
      </c>
    </row>
    <row r="11814" spans="1:2" x14ac:dyDescent="0.3">
      <c r="A11814" s="9" t="str">
        <f>HYPERLINK("http://www.eatonpowersource.com/products/configure/motors/details/158-1093-001","158-1093-001")</f>
        <v>158-1093-001</v>
      </c>
      <c r="B11814" s="10" t="s">
        <v>11394</v>
      </c>
    </row>
    <row r="11815" spans="1:2" x14ac:dyDescent="0.3">
      <c r="A11815" s="7" t="str">
        <f>HYPERLINK("http://www.eatonpowersource.com/products/configure/motors/details/158-1414-001","158-1414-001")</f>
        <v>158-1414-001</v>
      </c>
      <c r="B11815" s="8" t="s">
        <v>11395</v>
      </c>
    </row>
    <row r="11816" spans="1:2" x14ac:dyDescent="0.3">
      <c r="A11816" s="9" t="str">
        <f>HYPERLINK("http://www.eatonpowersource.com/products/configure/motors/details/158-1435-001","158-1435-001")</f>
        <v>158-1435-001</v>
      </c>
      <c r="B11816" s="10" t="s">
        <v>11396</v>
      </c>
    </row>
    <row r="11817" spans="1:2" x14ac:dyDescent="0.3">
      <c r="A11817" s="7" t="str">
        <f>HYPERLINK("http://www.eatonpowersource.com/products/configure/motors/details/158-1436-001","158-1436-001")</f>
        <v>158-1436-001</v>
      </c>
      <c r="B11817" s="8" t="s">
        <v>11397</v>
      </c>
    </row>
    <row r="11818" spans="1:2" x14ac:dyDescent="0.3">
      <c r="A11818" s="9" t="str">
        <f>HYPERLINK("http://www.eatonpowersource.com/products/configure/motors/details/158-1437-001","158-1437-001")</f>
        <v>158-1437-001</v>
      </c>
      <c r="B11818" s="10" t="s">
        <v>11398</v>
      </c>
    </row>
    <row r="11819" spans="1:2" x14ac:dyDescent="0.3">
      <c r="A11819" s="7" t="str">
        <f>HYPERLINK("http://www.eatonpowersource.com/products/configure/motors/details/158-1438-001","158-1438-001")</f>
        <v>158-1438-001</v>
      </c>
      <c r="B11819" s="8" t="s">
        <v>11399</v>
      </c>
    </row>
    <row r="11820" spans="1:2" x14ac:dyDescent="0.3">
      <c r="A11820" s="9" t="str">
        <f>HYPERLINK("http://www.eatonpowersource.com/products/configure/motors/details/158-1440-001","158-1440-001")</f>
        <v>158-1440-001</v>
      </c>
      <c r="B11820" s="10" t="s">
        <v>11400</v>
      </c>
    </row>
    <row r="11821" spans="1:2" x14ac:dyDescent="0.3">
      <c r="A11821" s="7" t="str">
        <f>HYPERLINK("http://www.eatonpowersource.com/products/configure/motors/details/158-1449-001","158-1449-001")</f>
        <v>158-1449-001</v>
      </c>
      <c r="B11821" s="8" t="s">
        <v>11401</v>
      </c>
    </row>
    <row r="11822" spans="1:2" x14ac:dyDescent="0.3">
      <c r="A11822" s="9" t="str">
        <f>HYPERLINK("http://www.eatonpowersource.com/products/configure/motors/details/158-1450-001","158-1450-001")</f>
        <v>158-1450-001</v>
      </c>
      <c r="B11822" s="10" t="s">
        <v>11402</v>
      </c>
    </row>
    <row r="11823" spans="1:2" x14ac:dyDescent="0.3">
      <c r="A11823" s="7" t="str">
        <f>HYPERLINK("http://www.eatonpowersource.com/products/configure/motors/details/158-1452-001","158-1452-001")</f>
        <v>158-1452-001</v>
      </c>
      <c r="B11823" s="8" t="s">
        <v>11403</v>
      </c>
    </row>
    <row r="11824" spans="1:2" x14ac:dyDescent="0.3">
      <c r="A11824" s="9" t="str">
        <f>HYPERLINK("http://www.eatonpowersource.com/products/configure/motors/details/158-1453-001","158-1453-001")</f>
        <v>158-1453-001</v>
      </c>
      <c r="B11824" s="10" t="s">
        <v>11404</v>
      </c>
    </row>
    <row r="11825" spans="1:2" x14ac:dyDescent="0.3">
      <c r="A11825" s="7" t="str">
        <f>HYPERLINK("http://www.eatonpowersource.com/products/configure/motors/details/158-1454-001","158-1454-001")</f>
        <v>158-1454-001</v>
      </c>
      <c r="B11825" s="8" t="s">
        <v>11405</v>
      </c>
    </row>
    <row r="11826" spans="1:2" x14ac:dyDescent="0.3">
      <c r="A11826" s="9" t="str">
        <f>HYPERLINK("http://www.eatonpowersource.com/products/configure/motors/details/158-1455-001","158-1455-001")</f>
        <v>158-1455-001</v>
      </c>
      <c r="B11826" s="10" t="s">
        <v>11406</v>
      </c>
    </row>
    <row r="11827" spans="1:2" x14ac:dyDescent="0.3">
      <c r="A11827" s="7" t="str">
        <f>HYPERLINK("http://www.eatonpowersource.com/products/configure/motors/details/158-1457-001","158-1457-001")</f>
        <v>158-1457-001</v>
      </c>
      <c r="B11827" s="8" t="s">
        <v>11407</v>
      </c>
    </row>
    <row r="11828" spans="1:2" x14ac:dyDescent="0.3">
      <c r="A11828" s="9" t="str">
        <f>HYPERLINK("http://www.eatonpowersource.com/products/configure/motors/details/158-1459-001","158-1459-001")</f>
        <v>158-1459-001</v>
      </c>
      <c r="B11828" s="10" t="s">
        <v>11408</v>
      </c>
    </row>
    <row r="11829" spans="1:2" x14ac:dyDescent="0.3">
      <c r="A11829" s="7" t="str">
        <f>HYPERLINK("http://www.eatonpowersource.com/products/configure/motors/details/158-1462-001","158-1462-001")</f>
        <v>158-1462-001</v>
      </c>
      <c r="B11829" s="8" t="s">
        <v>11409</v>
      </c>
    </row>
    <row r="11830" spans="1:2" x14ac:dyDescent="0.3">
      <c r="A11830" s="9" t="str">
        <f>HYPERLINK("http://www.eatonpowersource.com/products/configure/motors/details/158-1463-001","158-1463-001")</f>
        <v>158-1463-001</v>
      </c>
      <c r="B11830" s="10" t="s">
        <v>11410</v>
      </c>
    </row>
    <row r="11831" spans="1:2" x14ac:dyDescent="0.3">
      <c r="A11831" s="7" t="str">
        <f>HYPERLINK("http://www.eatonpowersource.com/products/configure/motors/details/158-1464-001","158-1464-001")</f>
        <v>158-1464-001</v>
      </c>
      <c r="B11831" s="8" t="s">
        <v>11411</v>
      </c>
    </row>
    <row r="11832" spans="1:2" x14ac:dyDescent="0.3">
      <c r="A11832" s="9" t="str">
        <f>HYPERLINK("http://www.eatonpowersource.com/products/configure/motors/details/158-1465-001","158-1465-001")</f>
        <v>158-1465-001</v>
      </c>
      <c r="B11832" s="10" t="s">
        <v>11412</v>
      </c>
    </row>
    <row r="11833" spans="1:2" x14ac:dyDescent="0.3">
      <c r="A11833" s="7" t="str">
        <f>HYPERLINK("http://www.eatonpowersource.com/products/configure/motors/details/158-1466-001","158-1466-001")</f>
        <v>158-1466-001</v>
      </c>
      <c r="B11833" s="8" t="s">
        <v>11413</v>
      </c>
    </row>
    <row r="11834" spans="1:2" x14ac:dyDescent="0.3">
      <c r="A11834" s="9" t="str">
        <f>HYPERLINK("http://www.eatonpowersource.com/products/configure/motors/details/158-1467-001","158-1467-001")</f>
        <v>158-1467-001</v>
      </c>
      <c r="B11834" s="10" t="s">
        <v>11414</v>
      </c>
    </row>
    <row r="11835" spans="1:2" x14ac:dyDescent="0.3">
      <c r="A11835" s="7" t="str">
        <f>HYPERLINK("http://www.eatonpowersource.com/products/configure/motors/details/158-1468-001","158-1468-001")</f>
        <v>158-1468-001</v>
      </c>
      <c r="B11835" s="8" t="s">
        <v>11415</v>
      </c>
    </row>
    <row r="11836" spans="1:2" x14ac:dyDescent="0.3">
      <c r="A11836" s="9" t="str">
        <f>HYPERLINK("http://www.eatonpowersource.com/products/configure/motors/details/158-1469-001","158-1469-001")</f>
        <v>158-1469-001</v>
      </c>
      <c r="B11836" s="10" t="s">
        <v>11416</v>
      </c>
    </row>
    <row r="11837" spans="1:2" x14ac:dyDescent="0.3">
      <c r="A11837" s="7" t="str">
        <f>HYPERLINK("http://www.eatonpowersource.com/products/configure/motors/details/158-1470-001","158-1470-001")</f>
        <v>158-1470-001</v>
      </c>
      <c r="B11837" s="8" t="s">
        <v>11417</v>
      </c>
    </row>
    <row r="11838" spans="1:2" x14ac:dyDescent="0.3">
      <c r="A11838" s="9" t="str">
        <f>HYPERLINK("http://www.eatonpowersource.com/products/configure/motors/details/158-1471-001","158-1471-001")</f>
        <v>158-1471-001</v>
      </c>
      <c r="B11838" s="10" t="s">
        <v>11418</v>
      </c>
    </row>
    <row r="11839" spans="1:2" x14ac:dyDescent="0.3">
      <c r="A11839" s="7" t="str">
        <f>HYPERLINK("http://www.eatonpowersource.com/products/configure/motors/details/158-1472-001","158-1472-001")</f>
        <v>158-1472-001</v>
      </c>
      <c r="B11839" s="8" t="s">
        <v>11419</v>
      </c>
    </row>
    <row r="11840" spans="1:2" x14ac:dyDescent="0.3">
      <c r="A11840" s="9" t="str">
        <f>HYPERLINK("http://www.eatonpowersource.com/products/configure/motors/details/158-1473-001","158-1473-001")</f>
        <v>158-1473-001</v>
      </c>
      <c r="B11840" s="10" t="s">
        <v>11420</v>
      </c>
    </row>
    <row r="11841" spans="1:2" x14ac:dyDescent="0.3">
      <c r="A11841" s="7" t="str">
        <f>HYPERLINK("http://www.eatonpowersource.com/products/configure/motors/details/158-1474-001","158-1474-001")</f>
        <v>158-1474-001</v>
      </c>
      <c r="B11841" s="8" t="s">
        <v>11421</v>
      </c>
    </row>
    <row r="11842" spans="1:2" x14ac:dyDescent="0.3">
      <c r="A11842" s="9" t="str">
        <f>HYPERLINK("http://www.eatonpowersource.com/products/configure/motors/details/158-1476-001","158-1476-001")</f>
        <v>158-1476-001</v>
      </c>
      <c r="B11842" s="10" t="s">
        <v>11422</v>
      </c>
    </row>
    <row r="11843" spans="1:2" x14ac:dyDescent="0.3">
      <c r="A11843" s="7" t="str">
        <f>HYPERLINK("http://www.eatonpowersource.com/products/configure/motors/details/158-1491-001","158-1491-001")</f>
        <v>158-1491-001</v>
      </c>
      <c r="B11843" s="8" t="s">
        <v>11423</v>
      </c>
    </row>
    <row r="11844" spans="1:2" x14ac:dyDescent="0.3">
      <c r="A11844" s="9" t="str">
        <f>HYPERLINK("http://www.eatonpowersource.com/products/configure/motors/details/158-1500-001","158-1500-001")</f>
        <v>158-1500-001</v>
      </c>
      <c r="B11844" s="10" t="s">
        <v>11424</v>
      </c>
    </row>
    <row r="11845" spans="1:2" x14ac:dyDescent="0.3">
      <c r="A11845" s="7" t="str">
        <f>HYPERLINK("http://www.eatonpowersource.com/products/configure/motors/details/158-1506-001","158-1506-001")</f>
        <v>158-1506-001</v>
      </c>
      <c r="B11845" s="8" t="s">
        <v>11425</v>
      </c>
    </row>
    <row r="11846" spans="1:2" x14ac:dyDescent="0.3">
      <c r="A11846" s="9" t="str">
        <f>HYPERLINK("http://www.eatonpowersource.com/products/configure/motors/details/158-1508-001","158-1508-001")</f>
        <v>158-1508-001</v>
      </c>
      <c r="B11846" s="10" t="s">
        <v>11426</v>
      </c>
    </row>
    <row r="11847" spans="1:2" x14ac:dyDescent="0.3">
      <c r="A11847" s="7" t="str">
        <f>HYPERLINK("http://www.eatonpowersource.com/products/configure/motors/details/158-1510-001","158-1510-001")</f>
        <v>158-1510-001</v>
      </c>
      <c r="B11847" s="8" t="s">
        <v>11427</v>
      </c>
    </row>
    <row r="11848" spans="1:2" x14ac:dyDescent="0.3">
      <c r="A11848" s="9" t="str">
        <f>HYPERLINK("http://www.eatonpowersource.com/products/configure/motors/details/158-1511-001","158-1511-001")</f>
        <v>158-1511-001</v>
      </c>
      <c r="B11848" s="10" t="s">
        <v>11428</v>
      </c>
    </row>
    <row r="11849" spans="1:2" x14ac:dyDescent="0.3">
      <c r="A11849" s="7" t="str">
        <f>HYPERLINK("http://www.eatonpowersource.com/products/configure/motors/details/158-1537-001","158-1537-001")</f>
        <v>158-1537-001</v>
      </c>
      <c r="B11849" s="8" t="s">
        <v>11429</v>
      </c>
    </row>
    <row r="11850" spans="1:2" x14ac:dyDescent="0.3">
      <c r="A11850" s="9" t="str">
        <f>HYPERLINK("http://www.eatonpowersource.com/products/configure/motors/details/158-1538-001","158-1538-001")</f>
        <v>158-1538-001</v>
      </c>
      <c r="B11850" s="10" t="s">
        <v>11430</v>
      </c>
    </row>
    <row r="11851" spans="1:2" x14ac:dyDescent="0.3">
      <c r="A11851" s="7" t="str">
        <f>HYPERLINK("http://www.eatonpowersource.com/products/configure/motors/details/158-1540-001","158-1540-001")</f>
        <v>158-1540-001</v>
      </c>
      <c r="B11851" s="8" t="s">
        <v>11431</v>
      </c>
    </row>
    <row r="11852" spans="1:2" x14ac:dyDescent="0.3">
      <c r="A11852" s="9" t="str">
        <f>HYPERLINK("http://www.eatonpowersource.com/products/configure/motors/details/158-1541-001","158-1541-001")</f>
        <v>158-1541-001</v>
      </c>
      <c r="B11852" s="10" t="s">
        <v>11432</v>
      </c>
    </row>
    <row r="11853" spans="1:2" x14ac:dyDescent="0.3">
      <c r="A11853" s="7" t="str">
        <f>HYPERLINK("http://www.eatonpowersource.com/products/configure/motors/details/158-1543-001","158-1543-001")</f>
        <v>158-1543-001</v>
      </c>
      <c r="B11853" s="8" t="s">
        <v>11433</v>
      </c>
    </row>
    <row r="11854" spans="1:2" x14ac:dyDescent="0.3">
      <c r="A11854" s="9" t="str">
        <f>HYPERLINK("http://www.eatonpowersource.com/products/configure/motors/details/158-1550-001","158-1550-001")</f>
        <v>158-1550-001</v>
      </c>
      <c r="B11854" s="10" t="s">
        <v>11434</v>
      </c>
    </row>
    <row r="11855" spans="1:2" x14ac:dyDescent="0.3">
      <c r="A11855" s="7" t="str">
        <f>HYPERLINK("http://www.eatonpowersource.com/products/configure/motors/details/158-1552-001","158-1552-001")</f>
        <v>158-1552-001</v>
      </c>
      <c r="B11855" s="8" t="s">
        <v>11435</v>
      </c>
    </row>
    <row r="11856" spans="1:2" x14ac:dyDescent="0.3">
      <c r="A11856" s="9" t="str">
        <f>HYPERLINK("http://www.eatonpowersource.com/products/configure/motors/details/158-1558-001","158-1558-001")</f>
        <v>158-1558-001</v>
      </c>
      <c r="B11856" s="10" t="s">
        <v>11436</v>
      </c>
    </row>
    <row r="11857" spans="1:2" x14ac:dyDescent="0.3">
      <c r="A11857" s="7" t="str">
        <f>HYPERLINK("http://www.eatonpowersource.com/products/configure/motors/details/158-1562-001","158-1562-001")</f>
        <v>158-1562-001</v>
      </c>
      <c r="B11857" s="8" t="s">
        <v>11437</v>
      </c>
    </row>
    <row r="11858" spans="1:2" x14ac:dyDescent="0.3">
      <c r="A11858" s="9" t="str">
        <f>HYPERLINK("http://www.eatonpowersource.com/products/configure/motors/details/158-1565-001","158-1565-001")</f>
        <v>158-1565-001</v>
      </c>
      <c r="B11858" s="10" t="s">
        <v>11438</v>
      </c>
    </row>
    <row r="11859" spans="1:2" x14ac:dyDescent="0.3">
      <c r="A11859" s="7" t="str">
        <f>HYPERLINK("http://www.eatonpowersource.com/products/configure/motors/details/158-1567-001","158-1567-001")</f>
        <v>158-1567-001</v>
      </c>
      <c r="B11859" s="8" t="s">
        <v>11439</v>
      </c>
    </row>
    <row r="11860" spans="1:2" x14ac:dyDescent="0.3">
      <c r="A11860" s="9" t="str">
        <f>HYPERLINK("http://www.eatonpowersource.com/products/configure/motors/details/158-1568-001","158-1568-001")</f>
        <v>158-1568-001</v>
      </c>
      <c r="B11860" s="10" t="s">
        <v>11440</v>
      </c>
    </row>
    <row r="11861" spans="1:2" x14ac:dyDescent="0.3">
      <c r="A11861" s="7" t="str">
        <f>HYPERLINK("http://www.eatonpowersource.com/products/configure/motors/details/158-1570-001","158-1570-001")</f>
        <v>158-1570-001</v>
      </c>
      <c r="B11861" s="8" t="s">
        <v>11441</v>
      </c>
    </row>
    <row r="11862" spans="1:2" x14ac:dyDescent="0.3">
      <c r="A11862" s="9" t="str">
        <f>HYPERLINK("http://www.eatonpowersource.com/products/configure/motors/details/158-1571-001","158-1571-001")</f>
        <v>158-1571-001</v>
      </c>
      <c r="B11862" s="10" t="s">
        <v>11442</v>
      </c>
    </row>
    <row r="11863" spans="1:2" x14ac:dyDescent="0.3">
      <c r="A11863" s="7" t="str">
        <f>HYPERLINK("http://www.eatonpowersource.com/products/configure/motors/details/158-1606-001","158-1606-001")</f>
        <v>158-1606-001</v>
      </c>
      <c r="B11863" s="8" t="s">
        <v>11443</v>
      </c>
    </row>
    <row r="11864" spans="1:2" x14ac:dyDescent="0.3">
      <c r="A11864" s="9" t="str">
        <f>HYPERLINK("http://www.eatonpowersource.com/products/configure/motors/details/158-1607-001","158-1607-001")</f>
        <v>158-1607-001</v>
      </c>
      <c r="B11864" s="10" t="s">
        <v>11444</v>
      </c>
    </row>
    <row r="11865" spans="1:2" x14ac:dyDescent="0.3">
      <c r="A11865" s="7" t="str">
        <f>HYPERLINK("http://www.eatonpowersource.com/products/configure/motors/details/158-1624-001","158-1624-001")</f>
        <v>158-1624-001</v>
      </c>
      <c r="B11865" s="8" t="s">
        <v>11445</v>
      </c>
    </row>
    <row r="11866" spans="1:2" x14ac:dyDescent="0.3">
      <c r="A11866" s="9" t="str">
        <f>HYPERLINK("http://www.eatonpowersource.com/products/configure/motors/details/158-1628-001","158-1628-001")</f>
        <v>158-1628-001</v>
      </c>
      <c r="B11866" s="10" t="s">
        <v>11446</v>
      </c>
    </row>
    <row r="11867" spans="1:2" x14ac:dyDescent="0.3">
      <c r="A11867" s="7" t="str">
        <f>HYPERLINK("http://www.eatonpowersource.com/products/configure/motors/details/158-1635-001","158-1635-001")</f>
        <v>158-1635-001</v>
      </c>
      <c r="B11867" s="8" t="s">
        <v>11447</v>
      </c>
    </row>
    <row r="11868" spans="1:2" x14ac:dyDescent="0.3">
      <c r="A11868" s="9" t="str">
        <f>HYPERLINK("http://www.eatonpowersource.com/products/configure/motors/details/158-1638-001","158-1638-001")</f>
        <v>158-1638-001</v>
      </c>
      <c r="B11868" s="10" t="s">
        <v>11448</v>
      </c>
    </row>
    <row r="11869" spans="1:2" x14ac:dyDescent="0.3">
      <c r="A11869" s="7" t="str">
        <f>HYPERLINK("http://www.eatonpowersource.com/products/configure/motors/details/158-1642-001","158-1642-001")</f>
        <v>158-1642-001</v>
      </c>
      <c r="B11869" s="8" t="s">
        <v>11449</v>
      </c>
    </row>
    <row r="11870" spans="1:2" x14ac:dyDescent="0.3">
      <c r="A11870" s="9" t="str">
        <f>HYPERLINK("http://www.eatonpowersource.com/products/configure/motors/details/158-1653-001","158-1653-001")</f>
        <v>158-1653-001</v>
      </c>
      <c r="B11870" s="10" t="s">
        <v>11450</v>
      </c>
    </row>
    <row r="11871" spans="1:2" x14ac:dyDescent="0.3">
      <c r="A11871" s="7" t="str">
        <f>HYPERLINK("http://www.eatonpowersource.com/products/configure/motors/details/158-1675-001","158-1675-001")</f>
        <v>158-1675-001</v>
      </c>
      <c r="B11871" s="8" t="s">
        <v>11451</v>
      </c>
    </row>
    <row r="11872" spans="1:2" x14ac:dyDescent="0.3">
      <c r="A11872" s="9" t="str">
        <f>HYPERLINK("http://www.eatonpowersource.com/products/configure/motors/details/158-2003-001","158-2003-001")</f>
        <v>158-2003-001</v>
      </c>
      <c r="B11872" s="10" t="s">
        <v>11452</v>
      </c>
    </row>
    <row r="11873" spans="1:2" x14ac:dyDescent="0.3">
      <c r="A11873" s="7" t="str">
        <f>HYPERLINK("http://www.eatonpowersource.com/products/configure/motors/details/158-2004-001","158-2004-001")</f>
        <v>158-2004-001</v>
      </c>
      <c r="B11873" s="8" t="s">
        <v>11453</v>
      </c>
    </row>
    <row r="11874" spans="1:2" x14ac:dyDescent="0.3">
      <c r="A11874" s="9" t="str">
        <f>HYPERLINK("http://www.eatonpowersource.com/products/configure/motors/details/158-2008-001","158-2008-001")</f>
        <v>158-2008-001</v>
      </c>
      <c r="B11874" s="10" t="s">
        <v>11454</v>
      </c>
    </row>
    <row r="11875" spans="1:2" x14ac:dyDescent="0.3">
      <c r="A11875" s="7" t="str">
        <f>HYPERLINK("http://www.eatonpowersource.com/products/configure/motors/details/158-2010-001","158-2010-001")</f>
        <v>158-2010-001</v>
      </c>
      <c r="B11875" s="8" t="s">
        <v>11455</v>
      </c>
    </row>
    <row r="11876" spans="1:2" x14ac:dyDescent="0.3">
      <c r="A11876" s="9" t="str">
        <f>HYPERLINK("http://www.eatonpowersource.com/products/configure/motors/details/158-2011-001","158-2011-001")</f>
        <v>158-2011-001</v>
      </c>
      <c r="B11876" s="10" t="s">
        <v>11456</v>
      </c>
    </row>
    <row r="11877" spans="1:2" x14ac:dyDescent="0.3">
      <c r="A11877" s="7" t="str">
        <f>HYPERLINK("http://www.eatonpowersource.com/products/configure/motors/details/158-2012-001","158-2012-001")</f>
        <v>158-2012-001</v>
      </c>
      <c r="B11877" s="8" t="s">
        <v>11457</v>
      </c>
    </row>
    <row r="11878" spans="1:2" x14ac:dyDescent="0.3">
      <c r="A11878" s="9" t="str">
        <f>HYPERLINK("http://www.eatonpowersource.com/products/configure/motors/details/158-2014-001","158-2014-001")</f>
        <v>158-2014-001</v>
      </c>
      <c r="B11878" s="10" t="s">
        <v>11458</v>
      </c>
    </row>
    <row r="11879" spans="1:2" x14ac:dyDescent="0.3">
      <c r="A11879" s="7" t="str">
        <f>HYPERLINK("http://www.eatonpowersource.com/products/configure/motors/details/158-2034-001","158-2034-001")</f>
        <v>158-2034-001</v>
      </c>
      <c r="B11879" s="8" t="s">
        <v>11459</v>
      </c>
    </row>
    <row r="11880" spans="1:2" x14ac:dyDescent="0.3">
      <c r="A11880" s="9" t="str">
        <f>HYPERLINK("http://www.eatonpowersource.com/products/configure/motors/details/158-2035-001","158-2035-001")</f>
        <v>158-2035-001</v>
      </c>
      <c r="B11880" s="10" t="s">
        <v>11460</v>
      </c>
    </row>
    <row r="11881" spans="1:2" x14ac:dyDescent="0.3">
      <c r="A11881" s="7" t="str">
        <f>HYPERLINK("http://www.eatonpowersource.com/products/configure/motors/details/158-2036-001","158-2036-001")</f>
        <v>158-2036-001</v>
      </c>
      <c r="B11881" s="8" t="s">
        <v>11461</v>
      </c>
    </row>
    <row r="11882" spans="1:2" x14ac:dyDescent="0.3">
      <c r="A11882" s="9" t="str">
        <f>HYPERLINK("http://www.eatonpowersource.com/products/configure/motors/details/158-2037-001","158-2037-001")</f>
        <v>158-2037-001</v>
      </c>
      <c r="B11882" s="10" t="s">
        <v>11462</v>
      </c>
    </row>
    <row r="11883" spans="1:2" x14ac:dyDescent="0.3">
      <c r="A11883" s="7" t="str">
        <f>HYPERLINK("http://www.eatonpowersource.com/products/configure/motors/details/158-2040-001","158-2040-001")</f>
        <v>158-2040-001</v>
      </c>
      <c r="B11883" s="8" t="s">
        <v>11463</v>
      </c>
    </row>
    <row r="11884" spans="1:2" x14ac:dyDescent="0.3">
      <c r="A11884" s="9" t="str">
        <f>HYPERLINK("http://www.eatonpowersource.com/products/configure/motors/details/158-2521-001","158-2521-001")</f>
        <v>158-2521-001</v>
      </c>
      <c r="B11884" s="10" t="s">
        <v>11464</v>
      </c>
    </row>
    <row r="11885" spans="1:2" x14ac:dyDescent="0.3">
      <c r="A11885" s="7" t="str">
        <f>HYPERLINK("http://www.eatonpowersource.com/products/configure/motors/details/158-2684-001","158-2684-001")</f>
        <v>158-2684-001</v>
      </c>
      <c r="B11885" s="8" t="s">
        <v>11465</v>
      </c>
    </row>
    <row r="11886" spans="1:2" x14ac:dyDescent="0.3">
      <c r="A11886" s="9" t="str">
        <f>HYPERLINK("http://www.eatonpowersource.com/products/configure/motors/details/158-2685-001","158-2685-001")</f>
        <v>158-2685-001</v>
      </c>
      <c r="B11886" s="10" t="s">
        <v>11466</v>
      </c>
    </row>
    <row r="11887" spans="1:2" x14ac:dyDescent="0.3">
      <c r="A11887" s="7" t="str">
        <f>HYPERLINK("http://www.eatonpowersource.com/products/configure/motors/details/158-2735-001","158-2735-001")</f>
        <v>158-2735-001</v>
      </c>
      <c r="B11887" s="8" t="s">
        <v>11467</v>
      </c>
    </row>
    <row r="11888" spans="1:2" x14ac:dyDescent="0.3">
      <c r="A11888" s="9" t="str">
        <f>HYPERLINK("http://www.eatonpowersource.com/products/configure/motors/details/158-2767-001","158-2767-001")</f>
        <v>158-2767-001</v>
      </c>
      <c r="B11888" s="10" t="s">
        <v>11468</v>
      </c>
    </row>
    <row r="11889" spans="1:2" x14ac:dyDescent="0.3">
      <c r="A11889" s="7" t="str">
        <f>HYPERLINK("http://www.eatonpowersource.com/products/configure/motors/details/158-2768-001","158-2768-001")</f>
        <v>158-2768-001</v>
      </c>
      <c r="B11889" s="8" t="s">
        <v>11469</v>
      </c>
    </row>
    <row r="11890" spans="1:2" x14ac:dyDescent="0.3">
      <c r="A11890" s="9" t="str">
        <f>HYPERLINK("http://www.eatonpowersource.com/products/configure/motors/details/158-2770-001","158-2770-001")</f>
        <v>158-2770-001</v>
      </c>
      <c r="B11890" s="10" t="s">
        <v>11470</v>
      </c>
    </row>
    <row r="11891" spans="1:2" x14ac:dyDescent="0.3">
      <c r="A11891" s="7" t="str">
        <f>HYPERLINK("http://www.eatonpowersource.com/products/configure/motors/details/158-2779-001","158-2779-001")</f>
        <v>158-2779-001</v>
      </c>
      <c r="B11891" s="8" t="s">
        <v>11471</v>
      </c>
    </row>
    <row r="11892" spans="1:2" x14ac:dyDescent="0.3">
      <c r="A11892" s="9" t="str">
        <f>HYPERLINK("http://www.eatonpowersource.com/products/configure/motors/details/158-2780-001","158-2780-001")</f>
        <v>158-2780-001</v>
      </c>
      <c r="B11892" s="10" t="s">
        <v>11472</v>
      </c>
    </row>
    <row r="11893" spans="1:2" x14ac:dyDescent="0.3">
      <c r="A11893" s="7" t="str">
        <f>HYPERLINK("http://www.eatonpowersource.com/products/configure/motors/details/158-2789-001","158-2789-001")</f>
        <v>158-2789-001</v>
      </c>
      <c r="B11893" s="8" t="s">
        <v>11473</v>
      </c>
    </row>
    <row r="11894" spans="1:2" x14ac:dyDescent="0.3">
      <c r="A11894" s="9" t="str">
        <f>HYPERLINK("http://www.eatonpowersource.com/products/configure/motors/details/158-2790-001","158-2790-001")</f>
        <v>158-2790-001</v>
      </c>
      <c r="B11894" s="10" t="s">
        <v>11474</v>
      </c>
    </row>
    <row r="11895" spans="1:2" x14ac:dyDescent="0.3">
      <c r="A11895" s="7" t="str">
        <f>HYPERLINK("http://www.eatonpowersource.com/products/configure/motors/details/158-2800-001","158-2800-001")</f>
        <v>158-2800-001</v>
      </c>
      <c r="B11895" s="8" t="s">
        <v>11475</v>
      </c>
    </row>
    <row r="11896" spans="1:2" x14ac:dyDescent="0.3">
      <c r="A11896" s="9" t="str">
        <f>HYPERLINK("http://www.eatonpowersource.com/products/configure/motors/details/158-2801-001","158-2801-001")</f>
        <v>158-2801-001</v>
      </c>
      <c r="B11896" s="10" t="s">
        <v>11476</v>
      </c>
    </row>
    <row r="11897" spans="1:2" x14ac:dyDescent="0.3">
      <c r="A11897" s="7" t="str">
        <f>HYPERLINK("http://www.eatonpowersource.com/products/configure/motors/details/158-2802-001","158-2802-001")</f>
        <v>158-2802-001</v>
      </c>
      <c r="B11897" s="8" t="s">
        <v>11477</v>
      </c>
    </row>
    <row r="11898" spans="1:2" x14ac:dyDescent="0.3">
      <c r="A11898" s="9" t="str">
        <f>HYPERLINK("http://www.eatonpowersource.com/products/configure/motors/details/158-2803-001","158-2803-001")</f>
        <v>158-2803-001</v>
      </c>
      <c r="B11898" s="10" t="s">
        <v>11478</v>
      </c>
    </row>
    <row r="11899" spans="1:2" x14ac:dyDescent="0.3">
      <c r="A11899" s="7" t="str">
        <f>HYPERLINK("http://www.eatonpowersource.com/products/configure/motors/details/158-2804-001","158-2804-001")</f>
        <v>158-2804-001</v>
      </c>
      <c r="B11899" s="8" t="s">
        <v>11479</v>
      </c>
    </row>
    <row r="11900" spans="1:2" x14ac:dyDescent="0.3">
      <c r="A11900" s="9" t="str">
        <f>HYPERLINK("http://www.eatonpowersource.com/products/configure/motors/details/158-2805-001","158-2805-001")</f>
        <v>158-2805-001</v>
      </c>
      <c r="B11900" s="10" t="s">
        <v>11480</v>
      </c>
    </row>
    <row r="11901" spans="1:2" x14ac:dyDescent="0.3">
      <c r="A11901" s="7" t="str">
        <f>HYPERLINK("http://www.eatonpowersource.com/products/configure/motors/details/158-2806-001","158-2806-001")</f>
        <v>158-2806-001</v>
      </c>
      <c r="B11901" s="8" t="s">
        <v>11481</v>
      </c>
    </row>
    <row r="11902" spans="1:2" x14ac:dyDescent="0.3">
      <c r="A11902" s="9" t="str">
        <f>HYPERLINK("http://www.eatonpowersource.com/products/configure/motors/details/158-2807-001","158-2807-001")</f>
        <v>158-2807-001</v>
      </c>
      <c r="B11902" s="10" t="s">
        <v>11482</v>
      </c>
    </row>
    <row r="11903" spans="1:2" x14ac:dyDescent="0.3">
      <c r="A11903" s="7" t="str">
        <f>HYPERLINK("http://www.eatonpowersource.com/products/configure/motors/details/158-2808-001","158-2808-001")</f>
        <v>158-2808-001</v>
      </c>
      <c r="B11903" s="8" t="s">
        <v>11483</v>
      </c>
    </row>
    <row r="11904" spans="1:2" x14ac:dyDescent="0.3">
      <c r="A11904" s="9" t="str">
        <f>HYPERLINK("http://www.eatonpowersource.com/products/configure/motors/details/158-2809-001","158-2809-001")</f>
        <v>158-2809-001</v>
      </c>
      <c r="B11904" s="10" t="s">
        <v>11484</v>
      </c>
    </row>
    <row r="11905" spans="1:2" x14ac:dyDescent="0.3">
      <c r="A11905" s="7" t="str">
        <f>HYPERLINK("http://www.eatonpowersource.com/products/configure/motors/details/158-2810-001","158-2810-001")</f>
        <v>158-2810-001</v>
      </c>
      <c r="B11905" s="8" t="s">
        <v>11485</v>
      </c>
    </row>
    <row r="11906" spans="1:2" x14ac:dyDescent="0.3">
      <c r="A11906" s="9" t="str">
        <f>HYPERLINK("http://www.eatonpowersource.com/products/configure/motors/details/158-2816-001","158-2816-001")</f>
        <v>158-2816-001</v>
      </c>
      <c r="B11906" s="10" t="s">
        <v>11486</v>
      </c>
    </row>
    <row r="11907" spans="1:2" x14ac:dyDescent="0.3">
      <c r="A11907" s="7" t="str">
        <f>HYPERLINK("http://www.eatonpowersource.com/products/configure/motors/details/158-2900-001","158-2900-001")</f>
        <v>158-2900-001</v>
      </c>
      <c r="B11907" s="8" t="s">
        <v>11487</v>
      </c>
    </row>
    <row r="11908" spans="1:2" x14ac:dyDescent="0.3">
      <c r="A11908" s="9" t="str">
        <f>HYPERLINK("http://www.eatonpowersource.com/products/configure/motors/details/158-2901-001","158-2901-001")</f>
        <v>158-2901-001</v>
      </c>
      <c r="B11908" s="10" t="s">
        <v>11488</v>
      </c>
    </row>
    <row r="11909" spans="1:2" x14ac:dyDescent="0.3">
      <c r="A11909" s="7" t="str">
        <f>HYPERLINK("http://www.eatonpowersource.com/products/configure/motors/details/158-2902-001","158-2902-001")</f>
        <v>158-2902-001</v>
      </c>
      <c r="B11909" s="8" t="s">
        <v>11489</v>
      </c>
    </row>
    <row r="11910" spans="1:2" x14ac:dyDescent="0.3">
      <c r="A11910" s="9" t="str">
        <f>HYPERLINK("http://www.eatonpowersource.com/products/configure/motors/details/158-2917-001","158-2917-001")</f>
        <v>158-2917-001</v>
      </c>
      <c r="B11910" s="10" t="s">
        <v>11490</v>
      </c>
    </row>
    <row r="11911" spans="1:2" x14ac:dyDescent="0.3">
      <c r="A11911" s="7" t="str">
        <f>HYPERLINK("http://www.eatonpowersource.com/products/configure/motors/details/158-2921-001","158-2921-001")</f>
        <v>158-2921-001</v>
      </c>
      <c r="B11911" s="8" t="s">
        <v>11491</v>
      </c>
    </row>
    <row r="11912" spans="1:2" x14ac:dyDescent="0.3">
      <c r="A11912" s="9" t="str">
        <f>HYPERLINK("http://www.eatonpowersource.com/products/configure/motors/details/158-2922-001","158-2922-001")</f>
        <v>158-2922-001</v>
      </c>
      <c r="B11912" s="10" t="s">
        <v>11492</v>
      </c>
    </row>
    <row r="11913" spans="1:2" x14ac:dyDescent="0.3">
      <c r="A11913" s="7" t="str">
        <f>HYPERLINK("http://www.eatonpowersource.com/products/configure/motors/details/158-2925-001","158-2925-001")</f>
        <v>158-2925-001</v>
      </c>
      <c r="B11913" s="8" t="s">
        <v>11493</v>
      </c>
    </row>
    <row r="11914" spans="1:2" x14ac:dyDescent="0.3">
      <c r="A11914" s="9" t="str">
        <f>HYPERLINK("http://www.eatonpowersource.com/products/configure/motors/details/158-2936-001","158-2936-001")</f>
        <v>158-2936-001</v>
      </c>
      <c r="B11914" s="10" t="s">
        <v>11494</v>
      </c>
    </row>
    <row r="11915" spans="1:2" x14ac:dyDescent="0.3">
      <c r="A11915" s="7" t="str">
        <f>HYPERLINK("http://www.eatonpowersource.com/products/configure/motors/details/158-2944-001","158-2944-001")</f>
        <v>158-2944-001</v>
      </c>
      <c r="B11915" s="8" t="s">
        <v>11495</v>
      </c>
    </row>
    <row r="11916" spans="1:2" x14ac:dyDescent="0.3">
      <c r="A11916" s="9" t="str">
        <f>HYPERLINK("http://www.eatonpowersource.com/products/configure/motors/details/158-2959-001","158-2959-001")</f>
        <v>158-2959-001</v>
      </c>
      <c r="B11916" s="10" t="s">
        <v>11496</v>
      </c>
    </row>
    <row r="11917" spans="1:2" x14ac:dyDescent="0.3">
      <c r="A11917" s="7" t="str">
        <f>HYPERLINK("http://www.eatonpowersource.com/products/configure/motors/details/158-2964-001","158-2964-001")</f>
        <v>158-2964-001</v>
      </c>
      <c r="B11917" s="8" t="s">
        <v>11497</v>
      </c>
    </row>
    <row r="11918" spans="1:2" x14ac:dyDescent="0.3">
      <c r="A11918" s="9" t="str">
        <f>HYPERLINK("http://www.eatonpowersource.com/products/configure/motors/details/158-2965-001","158-2965-001")</f>
        <v>158-2965-001</v>
      </c>
      <c r="B11918" s="10" t="s">
        <v>11498</v>
      </c>
    </row>
    <row r="11919" spans="1:2" x14ac:dyDescent="0.3">
      <c r="A11919" s="7" t="str">
        <f>HYPERLINK("http://www.eatonpowersource.com/products/configure/motors/details/158-2971-001","158-2971-001")</f>
        <v>158-2971-001</v>
      </c>
      <c r="B11919" s="8" t="s">
        <v>11499</v>
      </c>
    </row>
    <row r="11920" spans="1:2" x14ac:dyDescent="0.3">
      <c r="A11920" s="9" t="str">
        <f>HYPERLINK("http://www.eatonpowersource.com/products/configure/motors/details/158-2972-001","158-2972-001")</f>
        <v>158-2972-001</v>
      </c>
      <c r="B11920" s="10" t="s">
        <v>11500</v>
      </c>
    </row>
    <row r="11921" spans="1:2" x14ac:dyDescent="0.3">
      <c r="A11921" s="7" t="str">
        <f>HYPERLINK("http://www.eatonpowersource.com/products/configure/motors/details/158-2973-001","158-2973-001")</f>
        <v>158-2973-001</v>
      </c>
      <c r="B11921" s="8" t="s">
        <v>11501</v>
      </c>
    </row>
    <row r="11922" spans="1:2" x14ac:dyDescent="0.3">
      <c r="A11922" s="9" t="str">
        <f>HYPERLINK("http://www.eatonpowersource.com/products/configure/motors/details/158-2984-001","158-2984-001")</f>
        <v>158-2984-001</v>
      </c>
      <c r="B11922" s="10" t="s">
        <v>11502</v>
      </c>
    </row>
    <row r="11923" spans="1:2" x14ac:dyDescent="0.3">
      <c r="A11923" s="7" t="str">
        <f>HYPERLINK("http://www.eatonpowersource.com/products/configure/motors/details/158-2985-001","158-2985-001")</f>
        <v>158-2985-001</v>
      </c>
      <c r="B11923" s="8" t="s">
        <v>11503</v>
      </c>
    </row>
    <row r="11924" spans="1:2" x14ac:dyDescent="0.3">
      <c r="A11924" s="9" t="str">
        <f>HYPERLINK("http://www.eatonpowersource.com/products/configure/motors/details/158-3003-001","158-3003-001")</f>
        <v>158-3003-001</v>
      </c>
      <c r="B11924" s="10" t="s">
        <v>11504</v>
      </c>
    </row>
    <row r="11925" spans="1:2" x14ac:dyDescent="0.3">
      <c r="A11925" s="7" t="str">
        <f>HYPERLINK("http://www.eatonpowersource.com/products/configure/motors/details/158-3007-001","158-3007-001")</f>
        <v>158-3007-001</v>
      </c>
      <c r="B11925" s="8" t="s">
        <v>11505</v>
      </c>
    </row>
    <row r="11926" spans="1:2" x14ac:dyDescent="0.3">
      <c r="A11926" s="9" t="str">
        <f>HYPERLINK("http://www.eatonpowersource.com/products/configure/motors/details/158-3008-001","158-3008-001")</f>
        <v>158-3008-001</v>
      </c>
      <c r="B11926" s="10" t="s">
        <v>11506</v>
      </c>
    </row>
    <row r="11927" spans="1:2" x14ac:dyDescent="0.3">
      <c r="A11927" s="7" t="str">
        <f>HYPERLINK("http://www.eatonpowersource.com/products/configure/motors/details/158-3009-001","158-3009-001")</f>
        <v>158-3009-001</v>
      </c>
      <c r="B11927" s="8" t="s">
        <v>11507</v>
      </c>
    </row>
    <row r="11928" spans="1:2" x14ac:dyDescent="0.3">
      <c r="A11928" s="9" t="str">
        <f>HYPERLINK("http://www.eatonpowersource.com/products/configure/motors/details/158-3010-001","158-3010-001")</f>
        <v>158-3010-001</v>
      </c>
      <c r="B11928" s="10" t="s">
        <v>11508</v>
      </c>
    </row>
    <row r="11929" spans="1:2" x14ac:dyDescent="0.3">
      <c r="A11929" s="7" t="str">
        <f>HYPERLINK("http://www.eatonpowersource.com/products/configure/motors/details/158-3014-001","158-3014-001")</f>
        <v>158-3014-001</v>
      </c>
      <c r="B11929" s="8" t="s">
        <v>11509</v>
      </c>
    </row>
    <row r="11930" spans="1:2" x14ac:dyDescent="0.3">
      <c r="A11930" s="9" t="str">
        <f>HYPERLINK("http://www.eatonpowersource.com/products/configure/motors/details/158-3024-001","158-3024-001")</f>
        <v>158-3024-001</v>
      </c>
      <c r="B11930" s="10" t="s">
        <v>11510</v>
      </c>
    </row>
    <row r="11931" spans="1:2" x14ac:dyDescent="0.3">
      <c r="A11931" s="7" t="str">
        <f>HYPERLINK("http://www.eatonpowersource.com/products/configure/motors/details/158-3028-001","158-3028-001")</f>
        <v>158-3028-001</v>
      </c>
      <c r="B11931" s="8" t="s">
        <v>11511</v>
      </c>
    </row>
    <row r="11932" spans="1:2" x14ac:dyDescent="0.3">
      <c r="A11932" s="9" t="str">
        <f>HYPERLINK("http://www.eatonpowersource.com/products/configure/motors/details/158-3031-001","158-3031-001")</f>
        <v>158-3031-001</v>
      </c>
      <c r="B11932" s="10" t="s">
        <v>11512</v>
      </c>
    </row>
    <row r="11933" spans="1:2" x14ac:dyDescent="0.3">
      <c r="A11933" s="7" t="str">
        <f>HYPERLINK("http://www.eatonpowersource.com/products/configure/motors/details/158-3032-001","158-3032-001")</f>
        <v>158-3032-001</v>
      </c>
      <c r="B11933" s="8" t="s">
        <v>11513</v>
      </c>
    </row>
    <row r="11934" spans="1:2" x14ac:dyDescent="0.3">
      <c r="A11934" s="9" t="str">
        <f>HYPERLINK("http://www.eatonpowersource.com/products/configure/motors/details/158-3042-001","158-3042-001")</f>
        <v>158-3042-001</v>
      </c>
      <c r="B11934" s="10" t="s">
        <v>11514</v>
      </c>
    </row>
    <row r="11935" spans="1:2" x14ac:dyDescent="0.3">
      <c r="A11935" s="7" t="str">
        <f>HYPERLINK("http://www.eatonpowersource.com/products/configure/motors/details/158-3044-001","158-3044-001")</f>
        <v>158-3044-001</v>
      </c>
      <c r="B11935" s="8" t="s">
        <v>11515</v>
      </c>
    </row>
    <row r="11936" spans="1:2" x14ac:dyDescent="0.3">
      <c r="A11936" s="9" t="str">
        <f>HYPERLINK("http://www.eatonpowersource.com/products/configure/motors/details/158-3047-001","158-3047-001")</f>
        <v>158-3047-001</v>
      </c>
      <c r="B11936" s="10" t="s">
        <v>11516</v>
      </c>
    </row>
    <row r="11937" spans="1:2" x14ac:dyDescent="0.3">
      <c r="A11937" s="7" t="str">
        <f>HYPERLINK("http://www.eatonpowersource.com/products/configure/motors/details/158-3051-001","158-3051-001")</f>
        <v>158-3051-001</v>
      </c>
      <c r="B11937" s="8" t="s">
        <v>11517</v>
      </c>
    </row>
    <row r="11938" spans="1:2" x14ac:dyDescent="0.3">
      <c r="A11938" s="9" t="str">
        <f>HYPERLINK("http://www.eatonpowersource.com/products/configure/motors/details/158-3054-001","158-3054-001")</f>
        <v>158-3054-001</v>
      </c>
      <c r="B11938" s="10" t="s">
        <v>11518</v>
      </c>
    </row>
    <row r="11939" spans="1:2" x14ac:dyDescent="0.3">
      <c r="A11939" s="7" t="str">
        <f>HYPERLINK("http://www.eatonpowersource.com/products/configure/motors/details/158-3061-001","158-3061-001")</f>
        <v>158-3061-001</v>
      </c>
      <c r="B11939" s="8" t="s">
        <v>11519</v>
      </c>
    </row>
    <row r="11940" spans="1:2" x14ac:dyDescent="0.3">
      <c r="A11940" s="9" t="str">
        <f>HYPERLINK("http://www.eatonpowersource.com/products/configure/motors/details/158-3062-001","158-3062-001")</f>
        <v>158-3062-001</v>
      </c>
      <c r="B11940" s="10" t="s">
        <v>11520</v>
      </c>
    </row>
    <row r="11941" spans="1:2" x14ac:dyDescent="0.3">
      <c r="A11941" s="7" t="str">
        <f>HYPERLINK("http://www.eatonpowersource.com/products/configure/motors/details/158-3064-001","158-3064-001")</f>
        <v>158-3064-001</v>
      </c>
      <c r="B11941" s="8" t="s">
        <v>11521</v>
      </c>
    </row>
    <row r="11942" spans="1:2" x14ac:dyDescent="0.3">
      <c r="A11942" s="9" t="str">
        <f>HYPERLINK("http://www.eatonpowersource.com/products/configure/motors/details/158-3071-001","158-3071-001")</f>
        <v>158-3071-001</v>
      </c>
      <c r="B11942" s="10" t="s">
        <v>11522</v>
      </c>
    </row>
    <row r="11943" spans="1:2" x14ac:dyDescent="0.3">
      <c r="A11943" s="7" t="str">
        <f>HYPERLINK("http://www.eatonpowersource.com/products/configure/motors/details/158-3075-001","158-3075-001")</f>
        <v>158-3075-001</v>
      </c>
      <c r="B11943" s="8" t="s">
        <v>11523</v>
      </c>
    </row>
    <row r="11944" spans="1:2" x14ac:dyDescent="0.3">
      <c r="A11944" s="9" t="str">
        <f>HYPERLINK("http://www.eatonpowersource.com/products/configure/motors/details/158-3091-001","158-3091-001")</f>
        <v>158-3091-001</v>
      </c>
      <c r="B11944" s="10" t="s">
        <v>11524</v>
      </c>
    </row>
    <row r="11945" spans="1:2" x14ac:dyDescent="0.3">
      <c r="A11945" s="7" t="str">
        <f>HYPERLINK("http://www.eatonpowersource.com/products/configure/motors/details/158-3092-001","158-3092-001")</f>
        <v>158-3092-001</v>
      </c>
      <c r="B11945" s="8" t="s">
        <v>11525</v>
      </c>
    </row>
    <row r="11946" spans="1:2" x14ac:dyDescent="0.3">
      <c r="A11946" s="9" t="str">
        <f>HYPERLINK("http://www.eatonpowersource.com/products/configure/motors/details/158-3094-001","158-3094-001")</f>
        <v>158-3094-001</v>
      </c>
      <c r="B11946" s="10" t="s">
        <v>11526</v>
      </c>
    </row>
    <row r="11947" spans="1:2" x14ac:dyDescent="0.3">
      <c r="A11947" s="7" t="str">
        <f>HYPERLINK("http://www.eatonpowersource.com/products/configure/motors/details/158-3098-001","158-3098-001")</f>
        <v>158-3098-001</v>
      </c>
      <c r="B11947" s="8" t="s">
        <v>11527</v>
      </c>
    </row>
    <row r="11948" spans="1:2" x14ac:dyDescent="0.3">
      <c r="A11948" s="9" t="str">
        <f>HYPERLINK("http://www.eatonpowersource.com/products/configure/motors/details/158-3107-001","158-3107-001")</f>
        <v>158-3107-001</v>
      </c>
      <c r="B11948" s="10" t="s">
        <v>11528</v>
      </c>
    </row>
    <row r="11949" spans="1:2" x14ac:dyDescent="0.3">
      <c r="A11949" s="7" t="str">
        <f>HYPERLINK("http://www.eatonpowersource.com/products/configure/motors/details/158-3109-001","158-3109-001")</f>
        <v>158-3109-001</v>
      </c>
      <c r="B11949" s="8" t="s">
        <v>11529</v>
      </c>
    </row>
    <row r="11950" spans="1:2" x14ac:dyDescent="0.3">
      <c r="A11950" s="9" t="str">
        <f>HYPERLINK("http://www.eatonpowersource.com/products/configure/motors/details/158-3117-001","158-3117-001")</f>
        <v>158-3117-001</v>
      </c>
      <c r="B11950" s="10" t="s">
        <v>11530</v>
      </c>
    </row>
    <row r="11951" spans="1:2" x14ac:dyDescent="0.3">
      <c r="A11951" s="7" t="str">
        <f>HYPERLINK("http://www.eatonpowersource.com/products/configure/motors/details/158-3118-001","158-3118-001")</f>
        <v>158-3118-001</v>
      </c>
      <c r="B11951" s="8" t="s">
        <v>11531</v>
      </c>
    </row>
    <row r="11952" spans="1:2" x14ac:dyDescent="0.3">
      <c r="A11952" s="9" t="str">
        <f>HYPERLINK("http://www.eatonpowersource.com/products/configure/motors/details/158-3122-001","158-3122-001")</f>
        <v>158-3122-001</v>
      </c>
      <c r="B11952" s="10" t="s">
        <v>11532</v>
      </c>
    </row>
    <row r="11953" spans="1:2" x14ac:dyDescent="0.3">
      <c r="A11953" s="7" t="str">
        <f>HYPERLINK("http://www.eatonpowersource.com/products/configure/motors/details/158-3130-001","158-3130-001")</f>
        <v>158-3130-001</v>
      </c>
      <c r="B11953" s="8" t="s">
        <v>11533</v>
      </c>
    </row>
    <row r="11954" spans="1:2" x14ac:dyDescent="0.3">
      <c r="A11954" s="9" t="str">
        <f>HYPERLINK("http://www.eatonpowersource.com/products/configure/motors/details/158-3134-001","158-3134-001")</f>
        <v>158-3134-001</v>
      </c>
      <c r="B11954" s="10" t="s">
        <v>11534</v>
      </c>
    </row>
    <row r="11955" spans="1:2" x14ac:dyDescent="0.3">
      <c r="A11955" s="7" t="str">
        <f>HYPERLINK("http://www.eatonpowersource.com/products/configure/motors/details/158-3142-001","158-3142-001")</f>
        <v>158-3142-001</v>
      </c>
      <c r="B11955" s="8" t="s">
        <v>11535</v>
      </c>
    </row>
    <row r="11956" spans="1:2" x14ac:dyDescent="0.3">
      <c r="A11956" s="9" t="str">
        <f>HYPERLINK("http://www.eatonpowersource.com/products/configure/motors/details/158-3143-001","158-3143-001")</f>
        <v>158-3143-001</v>
      </c>
      <c r="B11956" s="10" t="s">
        <v>11536</v>
      </c>
    </row>
    <row r="11957" spans="1:2" x14ac:dyDescent="0.3">
      <c r="A11957" s="7" t="str">
        <f>HYPERLINK("http://www.eatonpowersource.com/products/configure/motors/details/158-3144-001","158-3144-001")</f>
        <v>158-3144-001</v>
      </c>
      <c r="B11957" s="8" t="s">
        <v>11537</v>
      </c>
    </row>
    <row r="11958" spans="1:2" x14ac:dyDescent="0.3">
      <c r="A11958" s="9" t="str">
        <f>HYPERLINK("http://www.eatonpowersource.com/products/configure/motors/details/158-3171-001","158-3171-001")</f>
        <v>158-3171-001</v>
      </c>
      <c r="B11958" s="10" t="s">
        <v>11538</v>
      </c>
    </row>
    <row r="11959" spans="1:2" x14ac:dyDescent="0.3">
      <c r="A11959" s="7" t="str">
        <f>HYPERLINK("http://www.eatonpowersource.com/products/configure/motors/details/158-3172-001","158-3172-001")</f>
        <v>158-3172-001</v>
      </c>
      <c r="B11959" s="8" t="s">
        <v>11539</v>
      </c>
    </row>
    <row r="11960" spans="1:2" x14ac:dyDescent="0.3">
      <c r="A11960" s="9" t="str">
        <f>HYPERLINK("http://www.eatonpowersource.com/products/configure/motors/details/158-3176-001","158-3176-001")</f>
        <v>158-3176-001</v>
      </c>
      <c r="B11960" s="10" t="s">
        <v>11540</v>
      </c>
    </row>
    <row r="11961" spans="1:2" x14ac:dyDescent="0.3">
      <c r="A11961" s="7" t="str">
        <f>HYPERLINK("http://www.eatonpowersource.com/products/configure/motors/details/158-3179-001","158-3179-001")</f>
        <v>158-3179-001</v>
      </c>
      <c r="B11961" s="8" t="s">
        <v>11541</v>
      </c>
    </row>
    <row r="11962" spans="1:2" x14ac:dyDescent="0.3">
      <c r="A11962" s="9" t="str">
        <f>HYPERLINK("http://www.eatonpowersource.com/products/configure/motors/details/158-3180-001","158-3180-001")</f>
        <v>158-3180-001</v>
      </c>
      <c r="B11962" s="10" t="s">
        <v>11542</v>
      </c>
    </row>
    <row r="11963" spans="1:2" x14ac:dyDescent="0.3">
      <c r="A11963" s="7" t="str">
        <f>HYPERLINK("http://www.eatonpowersource.com/products/configure/motors/details/158-3202-001","158-3202-001")</f>
        <v>158-3202-001</v>
      </c>
      <c r="B11963" s="8" t="s">
        <v>11543</v>
      </c>
    </row>
    <row r="11964" spans="1:2" x14ac:dyDescent="0.3">
      <c r="A11964" s="9" t="str">
        <f>HYPERLINK("http://www.eatonpowersource.com/products/configure/motors/details/158-3203-001","158-3203-001")</f>
        <v>158-3203-001</v>
      </c>
      <c r="B11964" s="10" t="s">
        <v>11544</v>
      </c>
    </row>
    <row r="11965" spans="1:2" x14ac:dyDescent="0.3">
      <c r="A11965" s="7" t="str">
        <f>HYPERLINK("http://www.eatonpowersource.com/products/configure/motors/details/158-3209-001","158-3209-001")</f>
        <v>158-3209-001</v>
      </c>
      <c r="B11965" s="8" t="s">
        <v>11545</v>
      </c>
    </row>
    <row r="11966" spans="1:2" x14ac:dyDescent="0.3">
      <c r="A11966" s="9" t="str">
        <f>HYPERLINK("http://www.eatonpowersource.com/products/configure/motors/details/158-3227-001","158-3227-001")</f>
        <v>158-3227-001</v>
      </c>
      <c r="B11966" s="10" t="s">
        <v>11546</v>
      </c>
    </row>
    <row r="11967" spans="1:2" x14ac:dyDescent="0.3">
      <c r="A11967" s="7" t="str">
        <f>HYPERLINK("http://www.eatonpowersource.com/products/configure/motors/details/158-3234-001","158-3234-001")</f>
        <v>158-3234-001</v>
      </c>
      <c r="B11967" s="8" t="s">
        <v>11547</v>
      </c>
    </row>
    <row r="11968" spans="1:2" x14ac:dyDescent="0.3">
      <c r="A11968" s="9" t="str">
        <f>HYPERLINK("http://www.eatonpowersource.com/products/configure/motors/details/158-3254-001","158-3254-001")</f>
        <v>158-3254-001</v>
      </c>
      <c r="B11968" s="10" t="s">
        <v>11548</v>
      </c>
    </row>
    <row r="11969" spans="1:2" x14ac:dyDescent="0.3">
      <c r="A11969" s="7" t="str">
        <f>HYPERLINK("http://www.eatonpowersource.com/products/configure/motors/details/158-3261-001","158-3261-001")</f>
        <v>158-3261-001</v>
      </c>
      <c r="B11969" s="8" t="s">
        <v>11549</v>
      </c>
    </row>
    <row r="11970" spans="1:2" x14ac:dyDescent="0.3">
      <c r="A11970" s="9" t="str">
        <f>HYPERLINK("http://www.eatonpowersource.com/products/configure/motors/details/158-3276-001","158-3276-001")</f>
        <v>158-3276-001</v>
      </c>
      <c r="B11970" s="10" t="s">
        <v>11550</v>
      </c>
    </row>
    <row r="11971" spans="1:2" x14ac:dyDescent="0.3">
      <c r="A11971" s="7" t="str">
        <f>HYPERLINK("http://www.eatonpowersource.com/products/configure/motors/details/158-3282-001","158-3282-001")</f>
        <v>158-3282-001</v>
      </c>
      <c r="B11971" s="8" t="s">
        <v>11551</v>
      </c>
    </row>
    <row r="11972" spans="1:2" x14ac:dyDescent="0.3">
      <c r="A11972" s="9" t="str">
        <f>HYPERLINK("http://www.eatonpowersource.com/products/configure/motors/details/158-3284-001","158-3284-001")</f>
        <v>158-3284-001</v>
      </c>
      <c r="B11972" s="10" t="s">
        <v>11552</v>
      </c>
    </row>
    <row r="11973" spans="1:2" x14ac:dyDescent="0.3">
      <c r="A11973" s="7" t="str">
        <f>HYPERLINK("http://www.eatonpowersource.com/products/configure/motors/details/158-3287-001","158-3287-001")</f>
        <v>158-3287-001</v>
      </c>
      <c r="B11973" s="8" t="s">
        <v>11553</v>
      </c>
    </row>
    <row r="11974" spans="1:2" x14ac:dyDescent="0.3">
      <c r="A11974" s="9" t="str">
        <f>HYPERLINK("http://www.eatonpowersource.com/products/configure/motors/details/158-3321-001","158-3321-001")</f>
        <v>158-3321-001</v>
      </c>
      <c r="B11974" s="10" t="s">
        <v>11554</v>
      </c>
    </row>
    <row r="11975" spans="1:2" x14ac:dyDescent="0.3">
      <c r="A11975" s="7" t="str">
        <f>HYPERLINK("http://www.eatonpowersource.com/products/configure/motors/details/158-3322-001","158-3322-001")</f>
        <v>158-3322-001</v>
      </c>
      <c r="B11975" s="8" t="s">
        <v>11555</v>
      </c>
    </row>
    <row r="11976" spans="1:2" x14ac:dyDescent="0.3">
      <c r="A11976" s="9" t="str">
        <f>HYPERLINK("http://www.eatonpowersource.com/products/configure/motors/details/158-3329-001","158-3329-001")</f>
        <v>158-3329-001</v>
      </c>
      <c r="B11976" s="10" t="s">
        <v>11556</v>
      </c>
    </row>
    <row r="11977" spans="1:2" x14ac:dyDescent="0.3">
      <c r="A11977" s="7" t="str">
        <f>HYPERLINK("http://www.eatonpowersource.com/products/configure/motors/details/158-3330-001","158-3330-001")</f>
        <v>158-3330-001</v>
      </c>
      <c r="B11977" s="8" t="s">
        <v>11557</v>
      </c>
    </row>
    <row r="11978" spans="1:2" x14ac:dyDescent="0.3">
      <c r="A11978" s="9" t="str">
        <f>HYPERLINK("http://www.eatonpowersource.com/products/configure/motors/details/158-3331-001","158-3331-001")</f>
        <v>158-3331-001</v>
      </c>
      <c r="B11978" s="10" t="s">
        <v>11558</v>
      </c>
    </row>
    <row r="11979" spans="1:2" x14ac:dyDescent="0.3">
      <c r="A11979" s="7" t="str">
        <f>HYPERLINK("http://www.eatonpowersource.com/products/configure/motors/details/158-3332-001","158-3332-001")</f>
        <v>158-3332-001</v>
      </c>
      <c r="B11979" s="8" t="s">
        <v>11559</v>
      </c>
    </row>
    <row r="11980" spans="1:2" x14ac:dyDescent="0.3">
      <c r="A11980" s="9" t="str">
        <f>HYPERLINK("http://www.eatonpowersource.com/products/configure/motors/details/158-3333-001","158-3333-001")</f>
        <v>158-3333-001</v>
      </c>
      <c r="B11980" s="10" t="s">
        <v>11560</v>
      </c>
    </row>
    <row r="11981" spans="1:2" x14ac:dyDescent="0.3">
      <c r="A11981" s="7" t="str">
        <f>HYPERLINK("http://www.eatonpowersource.com/products/configure/motors/details/158-3339-001","158-3339-001")</f>
        <v>158-3339-001</v>
      </c>
      <c r="B11981" s="8" t="s">
        <v>11561</v>
      </c>
    </row>
    <row r="11982" spans="1:2" x14ac:dyDescent="0.3">
      <c r="A11982" s="9" t="str">
        <f>HYPERLINK("http://www.eatonpowersource.com/products/configure/motors/details/158-3340-001","158-3340-001")</f>
        <v>158-3340-001</v>
      </c>
      <c r="B11982" s="10" t="s">
        <v>11562</v>
      </c>
    </row>
    <row r="11983" spans="1:2" x14ac:dyDescent="0.3">
      <c r="A11983" s="7" t="str">
        <f>HYPERLINK("http://www.eatonpowersource.com/products/configure/motors/details/158-3368-001","158-3368-001")</f>
        <v>158-3368-001</v>
      </c>
      <c r="B11983" s="8" t="s">
        <v>11563</v>
      </c>
    </row>
    <row r="11984" spans="1:2" x14ac:dyDescent="0.3">
      <c r="A11984" s="9" t="str">
        <f>HYPERLINK("http://www.eatonpowersource.com/products/configure/motors/details/158-3369-001","158-3369-001")</f>
        <v>158-3369-001</v>
      </c>
      <c r="B11984" s="10" t="s">
        <v>11564</v>
      </c>
    </row>
    <row r="11985" spans="1:2" x14ac:dyDescent="0.3">
      <c r="A11985" s="7" t="str">
        <f>HYPERLINK("http://www.eatonpowersource.com/products/configure/motors/details/158-3370-001","158-3370-001")</f>
        <v>158-3370-001</v>
      </c>
      <c r="B11985" s="8" t="s">
        <v>11565</v>
      </c>
    </row>
    <row r="11986" spans="1:2" x14ac:dyDescent="0.3">
      <c r="A11986" s="9" t="str">
        <f>HYPERLINK("http://www.eatonpowersource.com/products/configure/motors/details/158-3380-001","158-3380-001")</f>
        <v>158-3380-001</v>
      </c>
      <c r="B11986" s="10" t="s">
        <v>11566</v>
      </c>
    </row>
    <row r="11987" spans="1:2" x14ac:dyDescent="0.3">
      <c r="A11987" s="7" t="str">
        <f>HYPERLINK("http://www.eatonpowersource.com/products/configure/motors/details/158-3382-001","158-3382-001")</f>
        <v>158-3382-001</v>
      </c>
      <c r="B11987" s="8" t="s">
        <v>11567</v>
      </c>
    </row>
    <row r="11988" spans="1:2" x14ac:dyDescent="0.3">
      <c r="A11988" s="9" t="str">
        <f>HYPERLINK("http://www.eatonpowersource.com/products/configure/motors/details/158-3458-001","158-3458-001")</f>
        <v>158-3458-001</v>
      </c>
      <c r="B11988" s="10" t="s">
        <v>11568</v>
      </c>
    </row>
    <row r="11989" spans="1:2" x14ac:dyDescent="0.3">
      <c r="A11989" s="7" t="str">
        <f>HYPERLINK("http://www.eatonpowersource.com/products/configure/motors/details/158-3459-001","158-3459-001")</f>
        <v>158-3459-001</v>
      </c>
      <c r="B11989" s="8" t="s">
        <v>11569</v>
      </c>
    </row>
    <row r="11990" spans="1:2" x14ac:dyDescent="0.3">
      <c r="A11990" s="9" t="str">
        <f>HYPERLINK("http://www.eatonpowersource.com/products/configure/motors/details/158-3472-001","158-3472-001")</f>
        <v>158-3472-001</v>
      </c>
      <c r="B11990" s="10" t="s">
        <v>11570</v>
      </c>
    </row>
    <row r="11991" spans="1:2" x14ac:dyDescent="0.3">
      <c r="A11991" s="7" t="str">
        <f>HYPERLINK("http://www.eatonpowersource.com/products/configure/motors/details/158-3473-001","158-3473-001")</f>
        <v>158-3473-001</v>
      </c>
      <c r="B11991" s="8" t="s">
        <v>11571</v>
      </c>
    </row>
    <row r="11992" spans="1:2" x14ac:dyDescent="0.3">
      <c r="A11992" s="9" t="str">
        <f>HYPERLINK("http://www.eatonpowersource.com/products/configure/motors/details/158-3508-001","158-3508-001")</f>
        <v>158-3508-001</v>
      </c>
      <c r="B11992" s="10" t="s">
        <v>11572</v>
      </c>
    </row>
    <row r="11993" spans="1:2" x14ac:dyDescent="0.3">
      <c r="A11993" s="7" t="str">
        <f>HYPERLINK("http://www.eatonpowersource.com/products/configure/motors/details/158-3511-001","158-3511-001")</f>
        <v>158-3511-001</v>
      </c>
      <c r="B11993" s="8" t="s">
        <v>11573</v>
      </c>
    </row>
    <row r="11994" spans="1:2" x14ac:dyDescent="0.3">
      <c r="A11994" s="9" t="str">
        <f>HYPERLINK("http://www.eatonpowersource.com/products/configure/motors/details/158-3519-001","158-3519-001")</f>
        <v>158-3519-001</v>
      </c>
      <c r="B11994" s="10" t="s">
        <v>11574</v>
      </c>
    </row>
    <row r="11995" spans="1:2" x14ac:dyDescent="0.3">
      <c r="A11995" s="7" t="str">
        <f>HYPERLINK("http://www.eatonpowersource.com/products/configure/motors/details/158-3547-001","158-3547-001")</f>
        <v>158-3547-001</v>
      </c>
      <c r="B11995" s="8" t="s">
        <v>11575</v>
      </c>
    </row>
    <row r="11996" spans="1:2" x14ac:dyDescent="0.3">
      <c r="A11996" s="9" t="str">
        <f>HYPERLINK("http://www.eatonpowersource.com/products/configure/motors/details/158-3568-001","158-3568-001")</f>
        <v>158-3568-001</v>
      </c>
      <c r="B11996" s="10" t="s">
        <v>11576</v>
      </c>
    </row>
    <row r="11997" spans="1:2" x14ac:dyDescent="0.3">
      <c r="A11997" s="7" t="str">
        <f>HYPERLINK("http://www.eatonpowersource.com/products/configure/motors/details/158-3572-001","158-3572-001")</f>
        <v>158-3572-001</v>
      </c>
      <c r="B11997" s="8" t="s">
        <v>11577</v>
      </c>
    </row>
    <row r="11998" spans="1:2" x14ac:dyDescent="0.3">
      <c r="A11998" s="9" t="str">
        <f>HYPERLINK("http://www.eatonpowersource.com/products/configure/motors/details/158-3579-001","158-3579-001")</f>
        <v>158-3579-001</v>
      </c>
      <c r="B11998" s="10" t="s">
        <v>11578</v>
      </c>
    </row>
    <row r="11999" spans="1:2" x14ac:dyDescent="0.3">
      <c r="A11999" s="7" t="str">
        <f>HYPERLINK("http://www.eatonpowersource.com/products/configure/motors/details/158-3582-001","158-3582-001")</f>
        <v>158-3582-001</v>
      </c>
      <c r="B11999" s="8" t="s">
        <v>11579</v>
      </c>
    </row>
    <row r="12000" spans="1:2" x14ac:dyDescent="0.3">
      <c r="A12000" s="9" t="str">
        <f>HYPERLINK("http://www.eatonpowersource.com/products/configure/motors/details/158-3584-001","158-3584-001")</f>
        <v>158-3584-001</v>
      </c>
      <c r="B12000" s="10" t="s">
        <v>11580</v>
      </c>
    </row>
    <row r="12001" spans="1:2" x14ac:dyDescent="0.3">
      <c r="A12001" s="7" t="str">
        <f>HYPERLINK("http://www.eatonpowersource.com/products/configure/motors/details/158-3587-001","158-3587-001")</f>
        <v>158-3587-001</v>
      </c>
      <c r="B12001" s="8" t="s">
        <v>11581</v>
      </c>
    </row>
    <row r="12002" spans="1:2" x14ac:dyDescent="0.3">
      <c r="A12002" s="9" t="str">
        <f>HYPERLINK("http://www.eatonpowersource.com/products/configure/motors/details/158-3603-001","158-3603-001")</f>
        <v>158-3603-001</v>
      </c>
      <c r="B12002" s="10" t="s">
        <v>11582</v>
      </c>
    </row>
    <row r="12003" spans="1:2" x14ac:dyDescent="0.3">
      <c r="A12003" s="7" t="str">
        <f>HYPERLINK("http://www.eatonpowersource.com/products/configure/motors/details/158-3604-001","158-3604-001")</f>
        <v>158-3604-001</v>
      </c>
      <c r="B12003" s="8" t="s">
        <v>11583</v>
      </c>
    </row>
    <row r="12004" spans="1:2" x14ac:dyDescent="0.3">
      <c r="A12004" s="9" t="str">
        <f>HYPERLINK("http://www.eatonpowersource.com/products/configure/motors/details/158-3611-001","158-3611-001")</f>
        <v>158-3611-001</v>
      </c>
      <c r="B12004" s="10" t="s">
        <v>11584</v>
      </c>
    </row>
    <row r="12005" spans="1:2" x14ac:dyDescent="0.3">
      <c r="A12005" s="7" t="str">
        <f>HYPERLINK("http://www.eatonpowersource.com/products/configure/motors/details/158-3622-001","158-3622-001")</f>
        <v>158-3622-001</v>
      </c>
      <c r="B12005" s="8" t="s">
        <v>11585</v>
      </c>
    </row>
    <row r="12006" spans="1:2" x14ac:dyDescent="0.3">
      <c r="A12006" s="9" t="str">
        <f>HYPERLINK("http://www.eatonpowersource.com/products/configure/motors/details/158-3625-001","158-3625-001")</f>
        <v>158-3625-001</v>
      </c>
      <c r="B12006" s="10" t="s">
        <v>11586</v>
      </c>
    </row>
    <row r="12007" spans="1:2" x14ac:dyDescent="0.3">
      <c r="A12007" s="7" t="str">
        <f>HYPERLINK("http://www.eatonpowersource.com/products/configure/motors/details/158-3629-001","158-3629-001")</f>
        <v>158-3629-001</v>
      </c>
      <c r="B12007" s="8" t="s">
        <v>11587</v>
      </c>
    </row>
    <row r="12008" spans="1:2" x14ac:dyDescent="0.3">
      <c r="A12008" s="9" t="str">
        <f>HYPERLINK("http://www.eatonpowersource.com/products/configure/motors/details/158-3634-001","158-3634-001")</f>
        <v>158-3634-001</v>
      </c>
      <c r="B12008" s="10" t="s">
        <v>11588</v>
      </c>
    </row>
    <row r="12009" spans="1:2" x14ac:dyDescent="0.3">
      <c r="A12009" s="7" t="str">
        <f>HYPERLINK("http://www.eatonpowersource.com/products/configure/motors/details/158-3652-001","158-3652-001")</f>
        <v>158-3652-001</v>
      </c>
      <c r="B12009" s="8" t="s">
        <v>11589</v>
      </c>
    </row>
    <row r="12010" spans="1:2" x14ac:dyDescent="0.3">
      <c r="A12010" s="9" t="str">
        <f>HYPERLINK("http://www.eatonpowersource.com/products/configure/motors/details/158-3665-001","158-3665-001")</f>
        <v>158-3665-001</v>
      </c>
      <c r="B12010" s="10" t="s">
        <v>11590</v>
      </c>
    </row>
    <row r="12011" spans="1:2" x14ac:dyDescent="0.3">
      <c r="A12011" s="7" t="str">
        <f>HYPERLINK("http://www.eatonpowersource.com/products/configure/motors/details/158-3666-001","158-3666-001")</f>
        <v>158-3666-001</v>
      </c>
      <c r="B12011" s="8" t="s">
        <v>11591</v>
      </c>
    </row>
    <row r="12012" spans="1:2" x14ac:dyDescent="0.3">
      <c r="A12012" s="9" t="str">
        <f>HYPERLINK("http://www.eatonpowersource.com/products/configure/motors/details/158-3694-001","158-3694-001")</f>
        <v>158-3694-001</v>
      </c>
      <c r="B12012" s="10" t="s">
        <v>11592</v>
      </c>
    </row>
    <row r="12013" spans="1:2" x14ac:dyDescent="0.3">
      <c r="A12013" s="7" t="str">
        <f>HYPERLINK("http://www.eatonpowersource.com/products/configure/motors/details/158-3698-001","158-3698-001")</f>
        <v>158-3698-001</v>
      </c>
      <c r="B12013" s="8" t="s">
        <v>11593</v>
      </c>
    </row>
    <row r="12014" spans="1:2" x14ac:dyDescent="0.3">
      <c r="A12014" s="9" t="str">
        <f>HYPERLINK("http://www.eatonpowersource.com/products/configure/motors/details/158-3714-001","158-3714-001")</f>
        <v>158-3714-001</v>
      </c>
      <c r="B12014" s="10" t="s">
        <v>11594</v>
      </c>
    </row>
    <row r="12015" spans="1:2" x14ac:dyDescent="0.3">
      <c r="A12015" s="7" t="str">
        <f>HYPERLINK("http://www.eatonpowersource.com/products/configure/motors/details/158-3740-001","158-3740-001")</f>
        <v>158-3740-001</v>
      </c>
      <c r="B12015" s="8" t="s">
        <v>11595</v>
      </c>
    </row>
    <row r="12016" spans="1:2" x14ac:dyDescent="0.3">
      <c r="A12016" s="9" t="str">
        <f>HYPERLINK("http://www.eatonpowersource.com/products/configure/motors/details/158-3749-001","158-3749-001")</f>
        <v>158-3749-001</v>
      </c>
      <c r="B12016" s="10" t="s">
        <v>11596</v>
      </c>
    </row>
    <row r="12017" spans="1:2" x14ac:dyDescent="0.3">
      <c r="A12017" s="7" t="str">
        <f>HYPERLINK("http://www.eatonpowersource.com/products/configure/motors/details/158-3752-001","158-3752-001")</f>
        <v>158-3752-001</v>
      </c>
      <c r="B12017" s="8" t="s">
        <v>11597</v>
      </c>
    </row>
    <row r="12018" spans="1:2" x14ac:dyDescent="0.3">
      <c r="A12018" s="9" t="str">
        <f>HYPERLINK("http://www.eatonpowersource.com/products/configure/motors/details/158-3753-001","158-3753-001")</f>
        <v>158-3753-001</v>
      </c>
      <c r="B12018" s="10" t="s">
        <v>11598</v>
      </c>
    </row>
    <row r="12019" spans="1:2" x14ac:dyDescent="0.3">
      <c r="A12019" s="7" t="str">
        <f>HYPERLINK("http://www.eatonpowersource.com/products/configure/motors/details/158-3765-001","158-3765-001")</f>
        <v>158-3765-001</v>
      </c>
      <c r="B12019" s="8" t="s">
        <v>11599</v>
      </c>
    </row>
    <row r="12020" spans="1:2" x14ac:dyDescent="0.3">
      <c r="A12020" s="9" t="str">
        <f>HYPERLINK("http://www.eatonpowersource.com/products/configure/motors/details/158-3775-001","158-3775-001")</f>
        <v>158-3775-001</v>
      </c>
      <c r="B12020" s="10" t="s">
        <v>11600</v>
      </c>
    </row>
    <row r="12021" spans="1:2" x14ac:dyDescent="0.3">
      <c r="A12021" s="7" t="str">
        <f>HYPERLINK("http://www.eatonpowersource.com/products/configure/motors/details/158-3781-001","158-3781-001")</f>
        <v>158-3781-001</v>
      </c>
      <c r="B12021" s="8" t="s">
        <v>11601</v>
      </c>
    </row>
    <row r="12022" spans="1:2" x14ac:dyDescent="0.3">
      <c r="A12022" s="9" t="str">
        <f>HYPERLINK("http://www.eatonpowersource.com/products/configure/motors/details/158-3783-001","158-3783-001")</f>
        <v>158-3783-001</v>
      </c>
      <c r="B12022" s="10" t="s">
        <v>11602</v>
      </c>
    </row>
    <row r="12023" spans="1:2" x14ac:dyDescent="0.3">
      <c r="A12023" s="7" t="str">
        <f>HYPERLINK("http://www.eatonpowersource.com/products/configure/motors/details/158-3784-001","158-3784-001")</f>
        <v>158-3784-001</v>
      </c>
      <c r="B12023" s="8" t="s">
        <v>11603</v>
      </c>
    </row>
    <row r="12024" spans="1:2" x14ac:dyDescent="0.3">
      <c r="A12024" s="9" t="str">
        <f>HYPERLINK("http://www.eatonpowersource.com/products/configure/motors/details/158-3786-001","158-3786-001")</f>
        <v>158-3786-001</v>
      </c>
      <c r="B12024" s="10" t="s">
        <v>11604</v>
      </c>
    </row>
    <row r="12025" spans="1:2" x14ac:dyDescent="0.3">
      <c r="A12025" s="7" t="str">
        <f>HYPERLINK("http://www.eatonpowersource.com/products/configure/motors/details/158-3790-001","158-3790-001")</f>
        <v>158-3790-001</v>
      </c>
      <c r="B12025" s="8" t="s">
        <v>11605</v>
      </c>
    </row>
    <row r="12026" spans="1:2" x14ac:dyDescent="0.3">
      <c r="A12026" s="9" t="str">
        <f>HYPERLINK("http://www.eatonpowersource.com/products/configure/motors/details/158-3794-001","158-3794-001")</f>
        <v>158-3794-001</v>
      </c>
      <c r="B12026" s="10" t="s">
        <v>11606</v>
      </c>
    </row>
    <row r="12027" spans="1:2" x14ac:dyDescent="0.3">
      <c r="A12027" s="7" t="str">
        <f>HYPERLINK("http://www.eatonpowersource.com/products/configure/motors/details/158-3818-001","158-3818-001")</f>
        <v>158-3818-001</v>
      </c>
      <c r="B12027" s="8" t="s">
        <v>11607</v>
      </c>
    </row>
    <row r="12028" spans="1:2" x14ac:dyDescent="0.3">
      <c r="A12028" s="9" t="str">
        <f>HYPERLINK("http://www.eatonpowersource.com/products/configure/motors/details/158-3825-001","158-3825-001")</f>
        <v>158-3825-001</v>
      </c>
      <c r="B12028" s="10" t="s">
        <v>11608</v>
      </c>
    </row>
    <row r="12029" spans="1:2" x14ac:dyDescent="0.3">
      <c r="A12029" s="7" t="str">
        <f>HYPERLINK("http://www.eatonpowersource.com/products/configure/motors/details/158-3831-001","158-3831-001")</f>
        <v>158-3831-001</v>
      </c>
      <c r="B12029" s="8" t="s">
        <v>11609</v>
      </c>
    </row>
    <row r="12030" spans="1:2" x14ac:dyDescent="0.3">
      <c r="A12030" s="9" t="str">
        <f>HYPERLINK("http://www.eatonpowersource.com/products/configure/motors/details/158-3839-001","158-3839-001")</f>
        <v>158-3839-001</v>
      </c>
      <c r="B12030" s="10" t="s">
        <v>11610</v>
      </c>
    </row>
    <row r="12031" spans="1:2" x14ac:dyDescent="0.3">
      <c r="A12031" s="7" t="str">
        <f>HYPERLINK("http://www.eatonpowersource.com/products/configure/motors/details/158-3840-001","158-3840-001")</f>
        <v>158-3840-001</v>
      </c>
      <c r="B12031" s="8" t="s">
        <v>11611</v>
      </c>
    </row>
    <row r="12032" spans="1:2" x14ac:dyDescent="0.3">
      <c r="A12032" s="9" t="str">
        <f>HYPERLINK("http://www.eatonpowersource.com/products/configure/motors/details/158-3841-001","158-3841-001")</f>
        <v>158-3841-001</v>
      </c>
      <c r="B12032" s="10" t="s">
        <v>11612</v>
      </c>
    </row>
    <row r="12033" spans="1:2" x14ac:dyDescent="0.3">
      <c r="A12033" s="7" t="str">
        <f>HYPERLINK("http://www.eatonpowersource.com/products/configure/motors/details/158-3860-001","158-3860-001")</f>
        <v>158-3860-001</v>
      </c>
      <c r="B12033" s="8" t="s">
        <v>11613</v>
      </c>
    </row>
    <row r="12034" spans="1:2" x14ac:dyDescent="0.3">
      <c r="A12034" s="9" t="str">
        <f>HYPERLINK("http://www.eatonpowersource.com/products/configure/motors/details/158-3866-001","158-3866-001")</f>
        <v>158-3866-001</v>
      </c>
      <c r="B12034" s="10" t="s">
        <v>11614</v>
      </c>
    </row>
    <row r="12035" spans="1:2" x14ac:dyDescent="0.3">
      <c r="A12035" s="7" t="str">
        <f>HYPERLINK("http://www.eatonpowersource.com/products/configure/motors/details/158-3869-001","158-3869-001")</f>
        <v>158-3869-001</v>
      </c>
      <c r="B12035" s="8" t="s">
        <v>11615</v>
      </c>
    </row>
    <row r="12036" spans="1:2" x14ac:dyDescent="0.3">
      <c r="A12036" s="9" t="str">
        <f>HYPERLINK("http://www.eatonpowersource.com/products/configure/motors/details/158-3875-001","158-3875-001")</f>
        <v>158-3875-001</v>
      </c>
      <c r="B12036" s="10" t="s">
        <v>11616</v>
      </c>
    </row>
    <row r="12037" spans="1:2" x14ac:dyDescent="0.3">
      <c r="A12037" s="7" t="str">
        <f>HYPERLINK("http://www.eatonpowersource.com/products/configure/motors/details/158-3879-001","158-3879-001")</f>
        <v>158-3879-001</v>
      </c>
      <c r="B12037" s="8" t="s">
        <v>11617</v>
      </c>
    </row>
    <row r="12038" spans="1:2" x14ac:dyDescent="0.3">
      <c r="A12038" s="9" t="str">
        <f>HYPERLINK("http://www.eatonpowersource.com/products/configure/motors/details/158-3887-001","158-3887-001")</f>
        <v>158-3887-001</v>
      </c>
      <c r="B12038" s="10" t="s">
        <v>11618</v>
      </c>
    </row>
    <row r="12039" spans="1:2" x14ac:dyDescent="0.3">
      <c r="A12039" s="7" t="str">
        <f>HYPERLINK("http://www.eatonpowersource.com/products/configure/motors/details/158-3892-001","158-3892-001")</f>
        <v>158-3892-001</v>
      </c>
      <c r="B12039" s="8" t="s">
        <v>11619</v>
      </c>
    </row>
    <row r="12040" spans="1:2" x14ac:dyDescent="0.3">
      <c r="A12040" s="9" t="str">
        <f>HYPERLINK("http://www.eatonpowersource.com/products/configure/motors/details/158-3906-001","158-3906-001")</f>
        <v>158-3906-001</v>
      </c>
      <c r="B12040" s="10" t="s">
        <v>11620</v>
      </c>
    </row>
    <row r="12041" spans="1:2" x14ac:dyDescent="0.3">
      <c r="A12041" s="7" t="str">
        <f>HYPERLINK("http://www.eatonpowersource.com/products/configure/motors/details/158-3911-001","158-3911-001")</f>
        <v>158-3911-001</v>
      </c>
      <c r="B12041" s="8" t="s">
        <v>11621</v>
      </c>
    </row>
    <row r="12042" spans="1:2" x14ac:dyDescent="0.3">
      <c r="A12042" s="9" t="str">
        <f>HYPERLINK("http://www.eatonpowersource.com/products/configure/motors/details/158-3925-001","158-3925-001")</f>
        <v>158-3925-001</v>
      </c>
      <c r="B12042" s="10" t="s">
        <v>11622</v>
      </c>
    </row>
    <row r="12043" spans="1:2" x14ac:dyDescent="0.3">
      <c r="A12043" s="7" t="str">
        <f>HYPERLINK("http://www.eatonpowersource.com/products/configure/motors/details/158-3926-001","158-3926-001")</f>
        <v>158-3926-001</v>
      </c>
      <c r="B12043" s="8" t="s">
        <v>11623</v>
      </c>
    </row>
    <row r="12044" spans="1:2" x14ac:dyDescent="0.3">
      <c r="A12044" s="9" t="str">
        <f>HYPERLINK("http://www.eatonpowersource.com/products/configure/motors/details/158-3927-001","158-3927-001")</f>
        <v>158-3927-001</v>
      </c>
      <c r="B12044" s="10" t="s">
        <v>11624</v>
      </c>
    </row>
    <row r="12045" spans="1:2" x14ac:dyDescent="0.3">
      <c r="A12045" s="7" t="str">
        <f>HYPERLINK("http://www.eatonpowersource.com/products/configure/motors/details/158-3943-001","158-3943-001")</f>
        <v>158-3943-001</v>
      </c>
      <c r="B12045" s="8" t="s">
        <v>11625</v>
      </c>
    </row>
    <row r="12046" spans="1:2" x14ac:dyDescent="0.3">
      <c r="A12046" s="9" t="str">
        <f>HYPERLINK("http://www.eatonpowersource.com/products/configure/motors/details/158-3944-001","158-3944-001")</f>
        <v>158-3944-001</v>
      </c>
      <c r="B12046" s="10" t="s">
        <v>11626</v>
      </c>
    </row>
    <row r="12047" spans="1:2" x14ac:dyDescent="0.3">
      <c r="A12047" s="7" t="str">
        <f>HYPERLINK("http://www.eatonpowersource.com/products/configure/motors/details/158-3949-001","158-3949-001")</f>
        <v>158-3949-001</v>
      </c>
      <c r="B12047" s="8" t="s">
        <v>11627</v>
      </c>
    </row>
    <row r="12048" spans="1:2" x14ac:dyDescent="0.3">
      <c r="A12048" s="9" t="str">
        <f>HYPERLINK("http://www.eatonpowersource.com/products/configure/motors/details/158-3971-001","158-3971-001")</f>
        <v>158-3971-001</v>
      </c>
      <c r="B12048" s="10" t="s">
        <v>11628</v>
      </c>
    </row>
    <row r="12049" spans="1:2" x14ac:dyDescent="0.3">
      <c r="A12049" s="7" t="str">
        <f>HYPERLINK("http://www.eatonpowersource.com/products/configure/motors/details/158-3975-001","158-3975-001")</f>
        <v>158-3975-001</v>
      </c>
      <c r="B12049" s="8" t="s">
        <v>11629</v>
      </c>
    </row>
    <row r="12050" spans="1:2" x14ac:dyDescent="0.3">
      <c r="A12050" s="9" t="str">
        <f>HYPERLINK("http://www.eatonpowersource.com/products/configure/motors/details/158-3976-001","158-3976-001")</f>
        <v>158-3976-001</v>
      </c>
      <c r="B12050" s="10" t="s">
        <v>11630</v>
      </c>
    </row>
    <row r="12051" spans="1:2" x14ac:dyDescent="0.3">
      <c r="A12051" s="7" t="str">
        <f>HYPERLINK("http://www.eatonpowersource.com/products/configure/motors/details/158-3977-001","158-3977-001")</f>
        <v>158-3977-001</v>
      </c>
      <c r="B12051" s="8" t="s">
        <v>11631</v>
      </c>
    </row>
    <row r="12052" spans="1:2" x14ac:dyDescent="0.3">
      <c r="A12052" s="9" t="str">
        <f>HYPERLINK("http://www.eatonpowersource.com/products/configure/motors/details/158-3978-001","158-3978-001")</f>
        <v>158-3978-001</v>
      </c>
      <c r="B12052" s="10" t="s">
        <v>11632</v>
      </c>
    </row>
    <row r="12053" spans="1:2" x14ac:dyDescent="0.3">
      <c r="A12053" s="7" t="str">
        <f>HYPERLINK("http://www.eatonpowersource.com/products/configure/motors/details/158-3979-001","158-3979-001")</f>
        <v>158-3979-001</v>
      </c>
      <c r="B12053" s="8" t="s">
        <v>11633</v>
      </c>
    </row>
    <row r="12054" spans="1:2" x14ac:dyDescent="0.3">
      <c r="A12054" s="9" t="str">
        <f>HYPERLINK("http://www.eatonpowersource.com/products/configure/motors/details/158-3980-001","158-3980-001")</f>
        <v>158-3980-001</v>
      </c>
      <c r="B12054" s="10" t="s">
        <v>11634</v>
      </c>
    </row>
    <row r="12055" spans="1:2" x14ac:dyDescent="0.3">
      <c r="A12055" s="7" t="str">
        <f>HYPERLINK("http://www.eatonpowersource.com/products/configure/motors/details/158-3983-001","158-3983-001")</f>
        <v>158-3983-001</v>
      </c>
      <c r="B12055" s="8" t="s">
        <v>11635</v>
      </c>
    </row>
    <row r="12056" spans="1:2" x14ac:dyDescent="0.3">
      <c r="A12056" s="9" t="str">
        <f>HYPERLINK("http://www.eatonpowersource.com/products/configure/motors/details/158-3985-001","158-3985-001")</f>
        <v>158-3985-001</v>
      </c>
      <c r="B12056" s="10" t="s">
        <v>11636</v>
      </c>
    </row>
    <row r="12057" spans="1:2" x14ac:dyDescent="0.3">
      <c r="A12057" s="7" t="str">
        <f>HYPERLINK("http://www.eatonpowersource.com/products/configure/motors/details/158-3988-001","158-3988-001")</f>
        <v>158-3988-001</v>
      </c>
      <c r="B12057" s="8" t="s">
        <v>11637</v>
      </c>
    </row>
    <row r="12058" spans="1:2" x14ac:dyDescent="0.3">
      <c r="A12058" s="9" t="str">
        <f>HYPERLINK("http://www.eatonpowersource.com/products/configure/motors/details/158-3989-001","158-3989-001")</f>
        <v>158-3989-001</v>
      </c>
      <c r="B12058" s="10" t="s">
        <v>11638</v>
      </c>
    </row>
    <row r="12059" spans="1:2" x14ac:dyDescent="0.3">
      <c r="A12059" s="7" t="str">
        <f>HYPERLINK("http://www.eatonpowersource.com/products/configure/motors/details/158-3990-001","158-3990-001")</f>
        <v>158-3990-001</v>
      </c>
      <c r="B12059" s="8" t="s">
        <v>11639</v>
      </c>
    </row>
    <row r="12060" spans="1:2" x14ac:dyDescent="0.3">
      <c r="A12060" s="9" t="str">
        <f>HYPERLINK("http://www.eatonpowersource.com/products/configure/motors/details/158-3991-001","158-3991-001")</f>
        <v>158-3991-001</v>
      </c>
      <c r="B12060" s="10" t="s">
        <v>11640</v>
      </c>
    </row>
    <row r="12061" spans="1:2" x14ac:dyDescent="0.3">
      <c r="A12061" s="7" t="str">
        <f>HYPERLINK("http://www.eatonpowersource.com/products/configure/motors/details/158-4002-001","158-4002-001")</f>
        <v>158-4002-001</v>
      </c>
      <c r="B12061" s="8" t="s">
        <v>11641</v>
      </c>
    </row>
    <row r="12062" spans="1:2" x14ac:dyDescent="0.3">
      <c r="A12062" s="9" t="str">
        <f>HYPERLINK("http://www.eatonpowersource.com/products/configure/motors/details/158-4033-001","158-4033-001")</f>
        <v>158-4033-001</v>
      </c>
      <c r="B12062" s="10" t="s">
        <v>11642</v>
      </c>
    </row>
    <row r="12063" spans="1:2" x14ac:dyDescent="0.3">
      <c r="A12063" s="7" t="str">
        <f>HYPERLINK("http://www.eatonpowersource.com/products/configure/motors/details/158-4037-001","158-4037-001")</f>
        <v>158-4037-001</v>
      </c>
      <c r="B12063" s="8" t="s">
        <v>11643</v>
      </c>
    </row>
    <row r="12064" spans="1:2" x14ac:dyDescent="0.3">
      <c r="A12064" s="9" t="str">
        <f>HYPERLINK("http://www.eatonpowersource.com/products/configure/motors/details/158-4046-001","158-4046-001")</f>
        <v>158-4046-001</v>
      </c>
      <c r="B12064" s="10" t="s">
        <v>11644</v>
      </c>
    </row>
    <row r="12065" spans="1:2" x14ac:dyDescent="0.3">
      <c r="A12065" s="7" t="str">
        <f>HYPERLINK("http://www.eatonpowersource.com/products/configure/motors/details/158-4090-001","158-4090-001")</f>
        <v>158-4090-001</v>
      </c>
      <c r="B12065" s="8" t="s">
        <v>11645</v>
      </c>
    </row>
    <row r="12066" spans="1:2" x14ac:dyDescent="0.3">
      <c r="A12066" s="9" t="str">
        <f>HYPERLINK("http://www.eatonpowersource.com/products/configure/motors/details/158-4144-001","158-4144-001")</f>
        <v>158-4144-001</v>
      </c>
      <c r="B12066" s="10" t="s">
        <v>11646</v>
      </c>
    </row>
    <row r="12067" spans="1:2" x14ac:dyDescent="0.3">
      <c r="A12067" s="7" t="str">
        <f>HYPERLINK("http://www.eatonpowersource.com/products/configure/motors/details/158-4155-001","158-4155-001")</f>
        <v>158-4155-001</v>
      </c>
      <c r="B12067" s="8" t="s">
        <v>11647</v>
      </c>
    </row>
    <row r="12068" spans="1:2" x14ac:dyDescent="0.3">
      <c r="A12068" s="9" t="str">
        <f>HYPERLINK("http://www.eatonpowersource.com/products/configure/motors/details/158-4191-001","158-4191-001")</f>
        <v>158-4191-001</v>
      </c>
      <c r="B12068" s="10" t="s">
        <v>11648</v>
      </c>
    </row>
    <row r="12069" spans="1:2" x14ac:dyDescent="0.3">
      <c r="A12069" s="7" t="str">
        <f>HYPERLINK("http://www.eatonpowersource.com/products/configure/motors/details/158-4205-001","158-4205-001")</f>
        <v>158-4205-001</v>
      </c>
      <c r="B12069" s="8" t="s">
        <v>11649</v>
      </c>
    </row>
    <row r="12070" spans="1:2" x14ac:dyDescent="0.3">
      <c r="A12070" s="9" t="str">
        <f>HYPERLINK("http://www.eatonpowersource.com/products/configure/motors/details/158-4212-001","158-4212-001")</f>
        <v>158-4212-001</v>
      </c>
      <c r="B12070" s="10" t="s">
        <v>11650</v>
      </c>
    </row>
    <row r="12071" spans="1:2" x14ac:dyDescent="0.3">
      <c r="A12071" s="7" t="str">
        <f>HYPERLINK("http://www.eatonpowersource.com/products/configure/motors/details/158-4216-001","158-4216-001")</f>
        <v>158-4216-001</v>
      </c>
      <c r="B12071" s="8" t="s">
        <v>11651</v>
      </c>
    </row>
    <row r="12072" spans="1:2" x14ac:dyDescent="0.3">
      <c r="A12072" s="9" t="str">
        <f>HYPERLINK("http://www.eatonpowersource.com/products/configure/motors/details/158-4218-001","158-4218-001")</f>
        <v>158-4218-001</v>
      </c>
      <c r="B12072" s="10" t="s">
        <v>11652</v>
      </c>
    </row>
    <row r="12073" spans="1:2" x14ac:dyDescent="0.3">
      <c r="A12073" s="7" t="str">
        <f>HYPERLINK("http://www.eatonpowersource.com/products/configure/motors/details/158-4229-001","158-4229-001")</f>
        <v>158-4229-001</v>
      </c>
      <c r="B12073" s="8" t="s">
        <v>11653</v>
      </c>
    </row>
    <row r="12074" spans="1:2" x14ac:dyDescent="0.3">
      <c r="A12074" s="9" t="str">
        <f>HYPERLINK("http://www.eatonpowersource.com/products/configure/motors/details/158-4242-001","158-4242-001")</f>
        <v>158-4242-001</v>
      </c>
      <c r="B12074" s="10" t="s">
        <v>11654</v>
      </c>
    </row>
    <row r="12075" spans="1:2" x14ac:dyDescent="0.3">
      <c r="A12075" s="7" t="str">
        <f>HYPERLINK("http://www.eatonpowersource.com/products/configure/motors/details/158-4243-001","158-4243-001")</f>
        <v>158-4243-001</v>
      </c>
      <c r="B12075" s="8" t="s">
        <v>11655</v>
      </c>
    </row>
    <row r="12076" spans="1:2" x14ac:dyDescent="0.3">
      <c r="A12076" s="9" t="str">
        <f>HYPERLINK("http://www.eatonpowersource.com/products/configure/motors/details/158-4277-001","158-4277-001")</f>
        <v>158-4277-001</v>
      </c>
      <c r="B12076" s="10" t="s">
        <v>11656</v>
      </c>
    </row>
    <row r="12077" spans="1:2" x14ac:dyDescent="0.3">
      <c r="A12077" s="7" t="str">
        <f>HYPERLINK("http://www.eatonpowersource.com/products/configure/motors/details/158-4278-001","158-4278-001")</f>
        <v>158-4278-001</v>
      </c>
      <c r="B12077" s="8" t="s">
        <v>11657</v>
      </c>
    </row>
    <row r="12078" spans="1:2" x14ac:dyDescent="0.3">
      <c r="A12078" s="9" t="str">
        <f>HYPERLINK("http://www.eatonpowersource.com/products/configure/motors/details/158-4284-001","158-4284-001")</f>
        <v>158-4284-001</v>
      </c>
      <c r="B12078" s="10" t="s">
        <v>11658</v>
      </c>
    </row>
    <row r="12079" spans="1:2" x14ac:dyDescent="0.3">
      <c r="A12079" s="7" t="str">
        <f>HYPERLINK("http://www.eatonpowersource.com/products/configure/motors/details/158-4285-001","158-4285-001")</f>
        <v>158-4285-001</v>
      </c>
      <c r="B12079" s="8" t="s">
        <v>11659</v>
      </c>
    </row>
    <row r="12080" spans="1:2" x14ac:dyDescent="0.3">
      <c r="A12080" s="9" t="str">
        <f>HYPERLINK("http://www.eatonpowersource.com/products/configure/motors/details/158-4290-001","158-4290-001")</f>
        <v>158-4290-001</v>
      </c>
      <c r="B12080" s="10" t="s">
        <v>11660</v>
      </c>
    </row>
    <row r="12081" spans="1:2" x14ac:dyDescent="0.3">
      <c r="A12081" s="7" t="str">
        <f>HYPERLINK("http://www.eatonpowersource.com/products/configure/motors/details/158-4303-001","158-4303-001")</f>
        <v>158-4303-001</v>
      </c>
      <c r="B12081" s="8" t="s">
        <v>11661</v>
      </c>
    </row>
    <row r="12082" spans="1:2" x14ac:dyDescent="0.3">
      <c r="A12082" s="9" t="str">
        <f>HYPERLINK("http://www.eatonpowersource.com/products/configure/motors/details/158-4325-001","158-4325-001")</f>
        <v>158-4325-001</v>
      </c>
      <c r="B12082" s="10" t="s">
        <v>11662</v>
      </c>
    </row>
    <row r="12083" spans="1:2" x14ac:dyDescent="0.3">
      <c r="A12083" s="7" t="str">
        <f>HYPERLINK("http://www.eatonpowersource.com/products/configure/motors/details/158-4327-001","158-4327-001")</f>
        <v>158-4327-001</v>
      </c>
      <c r="B12083" s="8" t="s">
        <v>11663</v>
      </c>
    </row>
    <row r="12084" spans="1:2" x14ac:dyDescent="0.3">
      <c r="A12084" s="9" t="str">
        <f>HYPERLINK("http://www.eatonpowersource.com/products/configure/motors/details/185-0101-002","185-0101-002")</f>
        <v>185-0101-002</v>
      </c>
      <c r="B12084" s="10" t="s">
        <v>11664</v>
      </c>
    </row>
    <row r="12085" spans="1:2" x14ac:dyDescent="0.3">
      <c r="A12085" s="7" t="str">
        <f>HYPERLINK("http://www.eatonpowersource.com/products/configure/motors/details/185-2007-002","185-2007-002")</f>
        <v>185-2007-002</v>
      </c>
      <c r="B12085" s="8" t="s">
        <v>11665</v>
      </c>
    </row>
    <row r="12086" spans="1:2" x14ac:dyDescent="0.3">
      <c r="A12086" s="9" t="str">
        <f>HYPERLINK("http://www.eatonpowersource.com/products/configure/motors/details/185-2008-002","185-2008-002")</f>
        <v>185-2008-002</v>
      </c>
      <c r="B12086" s="10" t="s">
        <v>11666</v>
      </c>
    </row>
    <row r="12087" spans="1:2" x14ac:dyDescent="0.3">
      <c r="A12087" s="7" t="str">
        <f>HYPERLINK("http://www.eatonpowersource.com/products/configure/motors/details/185-2009-002","185-2009-002")</f>
        <v>185-2009-002</v>
      </c>
      <c r="B12087" s="8" t="s">
        <v>11667</v>
      </c>
    </row>
    <row r="12088" spans="1:2" x14ac:dyDescent="0.3">
      <c r="A12088" s="9" t="str">
        <f>HYPERLINK("http://www.eatonpowersource.com/products/configure/motors/details/185-2012-002","185-2012-002")</f>
        <v>185-2012-002</v>
      </c>
      <c r="B12088" s="10" t="s">
        <v>11668</v>
      </c>
    </row>
    <row r="12089" spans="1:2" x14ac:dyDescent="0.3">
      <c r="A12089" s="7" t="str">
        <f>HYPERLINK("http://www.eatonpowersource.com/products/configure/motors/details/185-2014-002","185-2014-002")</f>
        <v>185-2014-002</v>
      </c>
      <c r="B12089" s="8" t="s">
        <v>11669</v>
      </c>
    </row>
    <row r="12090" spans="1:2" x14ac:dyDescent="0.3">
      <c r="A12090" s="9" t="str">
        <f>HYPERLINK("http://www.eatonpowersource.com/products/configure/motors/details/185-2015-002","185-2015-002")</f>
        <v>185-2015-002</v>
      </c>
      <c r="B12090" s="10" t="s">
        <v>11670</v>
      </c>
    </row>
    <row r="12091" spans="1:2" x14ac:dyDescent="0.3">
      <c r="A12091" s="7" t="str">
        <f>HYPERLINK("http://www.eatonpowersource.com/products/configure/motors/details/185-2019-002","185-2019-002")</f>
        <v>185-2019-002</v>
      </c>
      <c r="B12091" s="8" t="s">
        <v>11671</v>
      </c>
    </row>
    <row r="12092" spans="1:2" x14ac:dyDescent="0.3">
      <c r="A12092" s="9" t="str">
        <f>HYPERLINK("http://www.eatonpowersource.com/products/configure/motors/details/185-2027-002","185-2027-002")</f>
        <v>185-2027-002</v>
      </c>
      <c r="B12092" s="10" t="s">
        <v>11672</v>
      </c>
    </row>
    <row r="12093" spans="1:2" x14ac:dyDescent="0.3">
      <c r="A12093" s="7" t="str">
        <f>HYPERLINK("http://www.eatonpowersource.com/products/configure/motors/details/185-2029-002","185-2029-002")</f>
        <v>185-2029-002</v>
      </c>
      <c r="B12093" s="8" t="s">
        <v>11673</v>
      </c>
    </row>
    <row r="12094" spans="1:2" x14ac:dyDescent="0.3">
      <c r="A12094" s="9" t="str">
        <f>HYPERLINK("http://www.eatonpowersource.com/products/configure/motors/details/185-2033-002","185-2033-002")</f>
        <v>185-2033-002</v>
      </c>
      <c r="B12094" s="10" t="s">
        <v>11674</v>
      </c>
    </row>
    <row r="12095" spans="1:2" x14ac:dyDescent="0.3">
      <c r="A12095" s="7" t="str">
        <f>HYPERLINK("http://www.eatonpowersource.com/products/configure/motors/details/185-2048-002","185-2048-002")</f>
        <v>185-2048-002</v>
      </c>
      <c r="B12095" s="8" t="s">
        <v>11675</v>
      </c>
    </row>
    <row r="12096" spans="1:2" x14ac:dyDescent="0.3">
      <c r="A12096" s="9" t="str">
        <f>HYPERLINK("http://www.eatonpowersource.com/products/configure/motors/details/185-2069-002","185-2069-002")</f>
        <v>185-2069-002</v>
      </c>
      <c r="B12096" s="10" t="s">
        <v>11676</v>
      </c>
    </row>
    <row r="12097" spans="1:2" x14ac:dyDescent="0.3">
      <c r="A12097" s="7" t="str">
        <f>HYPERLINK("http://www.eatonpowersource.com/products/configure/motors/details/185-2084-002","185-2084-002")</f>
        <v>185-2084-002</v>
      </c>
      <c r="B12097" s="8" t="s">
        <v>11677</v>
      </c>
    </row>
    <row r="12098" spans="1:2" x14ac:dyDescent="0.3">
      <c r="A12098" s="9" t="str">
        <f>HYPERLINK("http://www.eatonpowersource.com/products/configure/motors/details/185-2153-002","185-2153-002")</f>
        <v>185-2153-002</v>
      </c>
      <c r="B12098" s="10" t="s">
        <v>11678</v>
      </c>
    </row>
    <row r="12099" spans="1:2" x14ac:dyDescent="0.3">
      <c r="A12099" s="7" t="str">
        <f>HYPERLINK("http://www.eatonpowersource.com/products/configure/motors/details/185-2199-002","185-2199-002")</f>
        <v>185-2199-002</v>
      </c>
      <c r="B12099" s="8" t="s">
        <v>11679</v>
      </c>
    </row>
    <row r="12100" spans="1:2" x14ac:dyDescent="0.3">
      <c r="A12100" s="9" t="str">
        <f>HYPERLINK("http://www.eatonpowersource.com/products/configure/motors/details/185-2219-002","185-2219-002")</f>
        <v>185-2219-002</v>
      </c>
      <c r="B12100" s="10" t="s">
        <v>11680</v>
      </c>
    </row>
    <row r="12101" spans="1:2" x14ac:dyDescent="0.3">
      <c r="A12101" s="7" t="str">
        <f>HYPERLINK("http://www.eatonpowersource.com/products/configure/motors/details/185-2380-002","185-2380-002")</f>
        <v>185-2380-002</v>
      </c>
      <c r="B12101" s="8" t="s">
        <v>11681</v>
      </c>
    </row>
    <row r="12102" spans="1:2" x14ac:dyDescent="0.3">
      <c r="A12102" s="9" t="str">
        <f>HYPERLINK("http://www.eatonpowersource.com/products/configure/motors/details/185-2385-002","185-2385-002")</f>
        <v>185-2385-002</v>
      </c>
      <c r="B12102" s="10" t="s">
        <v>11682</v>
      </c>
    </row>
    <row r="12103" spans="1:2" x14ac:dyDescent="0.3">
      <c r="A12103" s="7" t="str">
        <f>HYPERLINK("http://www.eatonpowersource.com/products/configure/motors/details/185-2388-002","185-2388-002")</f>
        <v>185-2388-002</v>
      </c>
      <c r="B12103" s="8" t="s">
        <v>11683</v>
      </c>
    </row>
    <row r="12104" spans="1:2" x14ac:dyDescent="0.3">
      <c r="A12104" s="9" t="str">
        <f>HYPERLINK("http://www.eatonpowersource.com/products/configure/motors/details/185-2416-002","185-2416-002")</f>
        <v>185-2416-002</v>
      </c>
      <c r="B12104" s="10" t="s">
        <v>11684</v>
      </c>
    </row>
    <row r="12105" spans="1:2" x14ac:dyDescent="0.3">
      <c r="A12105" s="7" t="str">
        <f>HYPERLINK("http://www.eatonpowersource.com/products/configure/motors/details/185-3000-002","185-3000-002")</f>
        <v>185-3000-002</v>
      </c>
      <c r="B12105" s="8" t="s">
        <v>11685</v>
      </c>
    </row>
    <row r="12106" spans="1:2" x14ac:dyDescent="0.3">
      <c r="A12106" s="9" t="str">
        <f>HYPERLINK("http://www.eatonpowersource.com/products/configure/motors/details/185-3101-002","185-3101-002")</f>
        <v>185-3101-002</v>
      </c>
      <c r="B12106" s="10" t="s">
        <v>11686</v>
      </c>
    </row>
    <row r="12107" spans="1:2" x14ac:dyDescent="0.3">
      <c r="A12107" s="7" t="str">
        <f>HYPERLINK("http://www.eatonpowersource.com/products/configure/motors/details/185-3109-002","185-3109-002")</f>
        <v>185-3109-002</v>
      </c>
      <c r="B12107" s="8" t="s">
        <v>11687</v>
      </c>
    </row>
    <row r="12108" spans="1:2" x14ac:dyDescent="0.3">
      <c r="A12108" s="9" t="str">
        <f>HYPERLINK("http://www.eatonpowersource.com/products/configure/motors/details/185-3138-002","185-3138-002")</f>
        <v>185-3138-002</v>
      </c>
      <c r="B12108" s="10" t="s">
        <v>11688</v>
      </c>
    </row>
    <row r="12109" spans="1:2" x14ac:dyDescent="0.3">
      <c r="A12109" s="7" t="str">
        <f>HYPERLINK("http://www.eatonpowersource.com/products/configure/motors/details/185-3151-002","185-3151-002")</f>
        <v>185-3151-002</v>
      </c>
      <c r="B12109" s="8" t="s">
        <v>11689</v>
      </c>
    </row>
    <row r="12110" spans="1:2" x14ac:dyDescent="0.3">
      <c r="A12110" s="9" t="str">
        <f>HYPERLINK("http://www.eatonpowersource.com/products/configure/steering%20systems/details/200-0010-002","200-0010-002")</f>
        <v>200-0010-002</v>
      </c>
      <c r="B12110" s="10" t="s">
        <v>11690</v>
      </c>
    </row>
    <row r="12111" spans="1:2" x14ac:dyDescent="0.3">
      <c r="A12111" s="7" t="str">
        <f>HYPERLINK("http://www.eatonpowersource.com/products/configure/steering%20systems/details/200-0013-002","200-0013-002")</f>
        <v>200-0013-002</v>
      </c>
      <c r="B12111" s="8" t="s">
        <v>11691</v>
      </c>
    </row>
    <row r="12112" spans="1:2" x14ac:dyDescent="0.3">
      <c r="A12112" s="9" t="str">
        <f>HYPERLINK("http://www.eatonpowersource.com/products/configure/steering%20systems/details/200-0018-002","200-0018-002")</f>
        <v>200-0018-002</v>
      </c>
      <c r="B12112" s="10" t="s">
        <v>11692</v>
      </c>
    </row>
    <row r="12113" spans="1:2" x14ac:dyDescent="0.3">
      <c r="A12113" s="7" t="str">
        <f>HYPERLINK("http://www.eatonpowersource.com/products/configure/steering%20systems/details/200-0073-002","200-0073-002")</f>
        <v>200-0073-002</v>
      </c>
      <c r="B12113" s="8" t="s">
        <v>11693</v>
      </c>
    </row>
    <row r="12114" spans="1:2" x14ac:dyDescent="0.3">
      <c r="A12114" s="9" t="str">
        <f>HYPERLINK("http://www.eatonpowersource.com/products/configure/steering%20systems/details/200-0143-002","200-0143-002")</f>
        <v>200-0143-002</v>
      </c>
      <c r="B12114" s="10" t="s">
        <v>11694</v>
      </c>
    </row>
    <row r="12115" spans="1:2" x14ac:dyDescent="0.3">
      <c r="A12115" s="7" t="str">
        <f>HYPERLINK("http://www.eatonpowersource.com/products/configure/steering%20systems/details/200-0157-002","200-0157-002")</f>
        <v>200-0157-002</v>
      </c>
      <c r="B12115" s="8" t="s">
        <v>11695</v>
      </c>
    </row>
    <row r="12116" spans="1:2" x14ac:dyDescent="0.3">
      <c r="A12116" s="9" t="str">
        <f>HYPERLINK("http://www.eatonpowersource.com/products/configure/steering%20systems/details/200-0229-002","200-0229-002")</f>
        <v>200-0229-002</v>
      </c>
      <c r="B12116" s="10" t="s">
        <v>11696</v>
      </c>
    </row>
    <row r="12117" spans="1:2" x14ac:dyDescent="0.3">
      <c r="A12117" s="7" t="str">
        <f>HYPERLINK("http://www.eatonpowersource.com/products/configure/steering%20systems/details/200-0256-002","200-0256-002")</f>
        <v>200-0256-002</v>
      </c>
      <c r="B12117" s="8" t="s">
        <v>11697</v>
      </c>
    </row>
    <row r="12118" spans="1:2" x14ac:dyDescent="0.3">
      <c r="A12118" s="9" t="str">
        <f>HYPERLINK("http://www.eatonpowersource.com/products/configure/steering%20systems/details/200-0352-002","200-0352-002")</f>
        <v>200-0352-002</v>
      </c>
      <c r="B12118" s="10" t="s">
        <v>11698</v>
      </c>
    </row>
    <row r="12119" spans="1:2" x14ac:dyDescent="0.3">
      <c r="A12119" s="7" t="str">
        <f>HYPERLINK("http://www.eatonpowersource.com/products/configure/steering%20systems/details/200-0360-002","200-0360-002")</f>
        <v>200-0360-002</v>
      </c>
      <c r="B12119" s="8" t="s">
        <v>11699</v>
      </c>
    </row>
    <row r="12120" spans="1:2" x14ac:dyDescent="0.3">
      <c r="A12120" s="9" t="str">
        <f>HYPERLINK("http://www.eatonpowersource.com/products/configure/steering%20systems/details/200-0397-002","200-0397-002")</f>
        <v>200-0397-002</v>
      </c>
      <c r="B12120" s="10" t="s">
        <v>11700</v>
      </c>
    </row>
    <row r="12121" spans="1:2" x14ac:dyDescent="0.3">
      <c r="A12121" s="7" t="str">
        <f>HYPERLINK("http://www.eatonpowersource.com/products/configure/steering%20systems/details/200-0413-002","200-0413-002")</f>
        <v>200-0413-002</v>
      </c>
      <c r="B12121" s="8" t="s">
        <v>11701</v>
      </c>
    </row>
    <row r="12122" spans="1:2" x14ac:dyDescent="0.3">
      <c r="A12122" s="9" t="str">
        <f>HYPERLINK("http://www.eatonpowersource.com/products/configure/steering%20systems/details/200-0526-002","200-0526-002")</f>
        <v>200-0526-002</v>
      </c>
      <c r="B12122" s="10" t="s">
        <v>11702</v>
      </c>
    </row>
    <row r="12123" spans="1:2" x14ac:dyDescent="0.3">
      <c r="A12123" s="7" t="str">
        <f>HYPERLINK("http://www.eatonpowersource.com/products/configure/steering%20systems/details/200-0541-002","200-0541-002")</f>
        <v>200-0541-002</v>
      </c>
      <c r="B12123" s="8" t="s">
        <v>11703</v>
      </c>
    </row>
    <row r="12124" spans="1:2" x14ac:dyDescent="0.3">
      <c r="A12124" s="9" t="str">
        <f>HYPERLINK("http://www.eatonpowersource.com/products/configure/steering%20systems/details/200-0583-002","200-0583-002")</f>
        <v>200-0583-002</v>
      </c>
      <c r="B12124" s="10" t="s">
        <v>11704</v>
      </c>
    </row>
    <row r="12125" spans="1:2" x14ac:dyDescent="0.3">
      <c r="A12125" s="7" t="str">
        <f>HYPERLINK("http://www.eatonpowersource.com/products/configure/steering%20systems/details/200-0628-002","200-0628-002")</f>
        <v>200-0628-002</v>
      </c>
      <c r="B12125" s="8" t="s">
        <v>11705</v>
      </c>
    </row>
    <row r="12126" spans="1:2" x14ac:dyDescent="0.3">
      <c r="A12126" s="9" t="str">
        <f>HYPERLINK("http://www.eatonpowersource.com/products/configure/steering%20systems/details/200-0633-002","200-0633-002")</f>
        <v>200-0633-002</v>
      </c>
      <c r="B12126" s="10" t="s">
        <v>11706</v>
      </c>
    </row>
    <row r="12127" spans="1:2" x14ac:dyDescent="0.3">
      <c r="A12127" s="7" t="str">
        <f>HYPERLINK("http://www.eatonpowersource.com/products/configure/steering%20systems/details/200-0757-002","200-0757-002")</f>
        <v>200-0757-002</v>
      </c>
      <c r="B12127" s="8" t="s">
        <v>11707</v>
      </c>
    </row>
    <row r="12128" spans="1:2" x14ac:dyDescent="0.3">
      <c r="A12128" s="9" t="str">
        <f>HYPERLINK("http://www.eatonpowersource.com/products/configure/steering%20systems/details/200-0798-002","200-0798-002")</f>
        <v>200-0798-002</v>
      </c>
      <c r="B12128" s="10" t="s">
        <v>11708</v>
      </c>
    </row>
    <row r="12129" spans="1:2" x14ac:dyDescent="0.3">
      <c r="A12129" s="7" t="str">
        <f>HYPERLINK("http://www.eatonpowersource.com/products/configure/steering%20systems/details/200-0803-002","200-0803-002")</f>
        <v>200-0803-002</v>
      </c>
      <c r="B12129" s="8" t="s">
        <v>11709</v>
      </c>
    </row>
    <row r="12130" spans="1:2" x14ac:dyDescent="0.3">
      <c r="A12130" s="9" t="str">
        <f>HYPERLINK("http://www.eatonpowersource.com/products/configure/steering%20systems/details/200-0811-002","200-0811-002")</f>
        <v>200-0811-002</v>
      </c>
      <c r="B12130" s="10" t="s">
        <v>11710</v>
      </c>
    </row>
    <row r="12131" spans="1:2" x14ac:dyDescent="0.3">
      <c r="A12131" s="7" t="str">
        <f>HYPERLINK("http://www.eatonpowersource.com/products/configure/steering%20systems/details/200-0894-002","200-0894-002")</f>
        <v>200-0894-002</v>
      </c>
      <c r="B12131" s="8" t="s">
        <v>11711</v>
      </c>
    </row>
    <row r="12132" spans="1:2" x14ac:dyDescent="0.3">
      <c r="A12132" s="9" t="str">
        <f>HYPERLINK("http://www.eatonpowersource.com/products/configure/steering%20systems/details/200-0919-002","200-0919-002")</f>
        <v>200-0919-002</v>
      </c>
      <c r="B12132" s="10" t="s">
        <v>11712</v>
      </c>
    </row>
    <row r="12133" spans="1:2" x14ac:dyDescent="0.3">
      <c r="A12133" s="7" t="str">
        <f>HYPERLINK("http://www.eatonpowersource.com/products/configure/steering%20systems/details/200-0923-002","200-0923-002")</f>
        <v>200-0923-002</v>
      </c>
      <c r="B12133" s="8" t="s">
        <v>11713</v>
      </c>
    </row>
    <row r="12134" spans="1:2" x14ac:dyDescent="0.3">
      <c r="A12134" s="9" t="str">
        <f>HYPERLINK("http://www.eatonpowersource.com/products/configure/steering%20systems/details/200-0933-002","200-0933-002")</f>
        <v>200-0933-002</v>
      </c>
      <c r="B12134" s="10" t="s">
        <v>11714</v>
      </c>
    </row>
    <row r="12135" spans="1:2" x14ac:dyDescent="0.3">
      <c r="A12135" s="7" t="str">
        <f>HYPERLINK("http://www.eatonpowersource.com/products/configure/steering%20systems/details/200-1031-002","200-1031-002")</f>
        <v>200-1031-002</v>
      </c>
      <c r="B12135" s="8" t="s">
        <v>11715</v>
      </c>
    </row>
    <row r="12136" spans="1:2" x14ac:dyDescent="0.3">
      <c r="A12136" s="9" t="str">
        <f>HYPERLINK("http://www.eatonpowersource.com/products/configure/steering%20systems/details/200-1038-002","200-1038-002")</f>
        <v>200-1038-002</v>
      </c>
      <c r="B12136" s="10" t="s">
        <v>11716</v>
      </c>
    </row>
    <row r="12137" spans="1:2" x14ac:dyDescent="0.3">
      <c r="A12137" s="7" t="str">
        <f>HYPERLINK("http://www.eatonpowersource.com/products/configure/steering%20systems/details/200-1043-002","200-1043-002")</f>
        <v>200-1043-002</v>
      </c>
      <c r="B12137" s="8" t="s">
        <v>11717</v>
      </c>
    </row>
    <row r="12138" spans="1:2" x14ac:dyDescent="0.3">
      <c r="A12138" s="9" t="str">
        <f>HYPERLINK("http://www.eatonpowersource.com/products/configure/steering%20systems/details/204-1001-007","204-1001-007")</f>
        <v>204-1001-007</v>
      </c>
      <c r="B12138" s="10" t="s">
        <v>11718</v>
      </c>
    </row>
    <row r="12139" spans="1:2" x14ac:dyDescent="0.3">
      <c r="A12139" s="7" t="str">
        <f>HYPERLINK("http://www.eatonpowersource.com/products/configure/steering%20systems/details/204-1002-007","204-1002-007")</f>
        <v>204-1002-007</v>
      </c>
      <c r="B12139" s="8" t="s">
        <v>11719</v>
      </c>
    </row>
    <row r="12140" spans="1:2" x14ac:dyDescent="0.3">
      <c r="A12140" s="9" t="str">
        <f>HYPERLINK("http://www.eatonpowersource.com/products/configure/steering%20systems/details/204-1003-007","204-1003-007")</f>
        <v>204-1003-007</v>
      </c>
      <c r="B12140" s="10" t="s">
        <v>11720</v>
      </c>
    </row>
    <row r="12141" spans="1:2" x14ac:dyDescent="0.3">
      <c r="A12141" s="7" t="str">
        <f>HYPERLINK("http://www.eatonpowersource.com/products/configure/steering%20systems/details/204-1004-007","204-1004-007")</f>
        <v>204-1004-007</v>
      </c>
      <c r="B12141" s="8" t="s">
        <v>11721</v>
      </c>
    </row>
    <row r="12142" spans="1:2" x14ac:dyDescent="0.3">
      <c r="A12142" s="9" t="str">
        <f>HYPERLINK("http://www.eatonpowersource.com/products/configure/steering%20systems/details/204-1006-007","204-1006-007")</f>
        <v>204-1006-007</v>
      </c>
      <c r="B12142" s="10" t="s">
        <v>11722</v>
      </c>
    </row>
    <row r="12143" spans="1:2" x14ac:dyDescent="0.3">
      <c r="A12143" s="7" t="str">
        <f>HYPERLINK("http://www.eatonpowersource.com/products/configure/steering%20systems/details/204-1007-007","204-1007-007")</f>
        <v>204-1007-007</v>
      </c>
      <c r="B12143" s="8" t="s">
        <v>11723</v>
      </c>
    </row>
    <row r="12144" spans="1:2" x14ac:dyDescent="0.3">
      <c r="A12144" s="9" t="str">
        <f>HYPERLINK("http://www.eatonpowersource.com/products/configure/steering%20systems/details/204-1008-007","204-1008-007")</f>
        <v>204-1008-007</v>
      </c>
      <c r="B12144" s="10" t="s">
        <v>11724</v>
      </c>
    </row>
    <row r="12145" spans="1:2" x14ac:dyDescent="0.3">
      <c r="A12145" s="7" t="str">
        <f>HYPERLINK("http://www.eatonpowersource.com/products/configure/steering%20systems/details/204-1015-007","204-1015-007")</f>
        <v>204-1015-007</v>
      </c>
      <c r="B12145" s="8" t="s">
        <v>11725</v>
      </c>
    </row>
    <row r="12146" spans="1:2" x14ac:dyDescent="0.3">
      <c r="A12146" s="9" t="str">
        <f>HYPERLINK("http://www.eatonpowersource.com/products/configure/steering%20systems/details/204-1036-007","204-1036-007")</f>
        <v>204-1036-007</v>
      </c>
      <c r="B12146" s="10" t="s">
        <v>11726</v>
      </c>
    </row>
    <row r="12147" spans="1:2" x14ac:dyDescent="0.3">
      <c r="A12147" s="7" t="str">
        <f>HYPERLINK("http://www.eatonpowersource.com/products/configure/steering%20systems/details/204-1037-005","204-1037-005")</f>
        <v>204-1037-005</v>
      </c>
      <c r="B12147" s="8" t="s">
        <v>11727</v>
      </c>
    </row>
    <row r="12148" spans="1:2" x14ac:dyDescent="0.3">
      <c r="A12148" s="9" t="str">
        <f>HYPERLINK("http://www.eatonpowersource.com/products/configure/steering%20systems/details/204-1052-007","204-1052-007")</f>
        <v>204-1052-007</v>
      </c>
      <c r="B12148" s="10" t="s">
        <v>11728</v>
      </c>
    </row>
    <row r="12149" spans="1:2" x14ac:dyDescent="0.3">
      <c r="A12149" s="7" t="str">
        <f>HYPERLINK("http://www.eatonpowersource.com/products/configure/steering%20systems/details/204-1058-007","204-1058-007")</f>
        <v>204-1058-007</v>
      </c>
      <c r="B12149" s="8" t="s">
        <v>11729</v>
      </c>
    </row>
    <row r="12150" spans="1:2" x14ac:dyDescent="0.3">
      <c r="A12150" s="9" t="str">
        <f>HYPERLINK("http://www.eatonpowersource.com/products/configure/steering%20systems/details/204-1062-007","204-1062-007")</f>
        <v>204-1062-007</v>
      </c>
      <c r="B12150" s="10" t="s">
        <v>11730</v>
      </c>
    </row>
    <row r="12151" spans="1:2" x14ac:dyDescent="0.3">
      <c r="A12151" s="7" t="str">
        <f>HYPERLINK("http://www.eatonpowersource.com/products/configure/steering%20systems/details/204-1078-006","204-1078-006")</f>
        <v>204-1078-006</v>
      </c>
      <c r="B12151" s="8" t="s">
        <v>11731</v>
      </c>
    </row>
    <row r="12152" spans="1:2" x14ac:dyDescent="0.3">
      <c r="A12152" s="9" t="str">
        <f>HYPERLINK("http://www.eatonpowersource.com/products/configure/steering%20systems/details/204-1084-006","204-1084-006")</f>
        <v>204-1084-006</v>
      </c>
      <c r="B12152" s="10" t="s">
        <v>11732</v>
      </c>
    </row>
    <row r="12153" spans="1:2" x14ac:dyDescent="0.3">
      <c r="A12153" s="7" t="str">
        <f>HYPERLINK("http://www.eatonpowersource.com/products/configure/steering%20systems/details/204-1134-007","204-1134-007")</f>
        <v>204-1134-007</v>
      </c>
      <c r="B12153" s="8" t="s">
        <v>11733</v>
      </c>
    </row>
    <row r="12154" spans="1:2" x14ac:dyDescent="0.3">
      <c r="A12154" s="9" t="str">
        <f>HYPERLINK("http://www.eatonpowersource.com/products/configure/steering%20systems/details/204-1208-007","204-1208-007")</f>
        <v>204-1208-007</v>
      </c>
      <c r="B12154" s="10" t="s">
        <v>11734</v>
      </c>
    </row>
    <row r="12155" spans="1:2" x14ac:dyDescent="0.3">
      <c r="A12155" s="7" t="str">
        <f>HYPERLINK("http://www.eatonpowersource.com/products/configure/steering%20systems/details/204-1238-007","204-1238-007")</f>
        <v>204-1238-007</v>
      </c>
      <c r="B12155" s="8" t="s">
        <v>11735</v>
      </c>
    </row>
    <row r="12156" spans="1:2" x14ac:dyDescent="0.3">
      <c r="A12156" s="9" t="str">
        <f>HYPERLINK("http://www.eatonpowersource.com/products/configure/steering%20systems/details/204-1322-007","204-1322-007")</f>
        <v>204-1322-007</v>
      </c>
      <c r="B12156" s="10" t="s">
        <v>11736</v>
      </c>
    </row>
    <row r="12157" spans="1:2" x14ac:dyDescent="0.3">
      <c r="A12157" s="7" t="str">
        <f>HYPERLINK("http://www.eatonpowersource.com/products/configure/steering%20systems/details/204-3003-007","204-3003-007")</f>
        <v>204-3003-007</v>
      </c>
      <c r="B12157" s="8" t="s">
        <v>11737</v>
      </c>
    </row>
    <row r="12158" spans="1:2" x14ac:dyDescent="0.3">
      <c r="A12158" s="9" t="str">
        <f>HYPERLINK("http://www.eatonpowersource.com/products/configure/steering%20systems/details/204-4006-002","204-4006-002")</f>
        <v>204-4006-002</v>
      </c>
      <c r="B12158" s="10" t="s">
        <v>11738</v>
      </c>
    </row>
    <row r="12159" spans="1:2" x14ac:dyDescent="0.3">
      <c r="A12159" s="7" t="str">
        <f>HYPERLINK("http://www.eatonpowersource.com/products/configure/steering%20systems/details/204-4020-002","204-4020-002")</f>
        <v>204-4020-002</v>
      </c>
      <c r="B12159" s="8" t="s">
        <v>11739</v>
      </c>
    </row>
    <row r="12160" spans="1:2" x14ac:dyDescent="0.3">
      <c r="A12160" s="9" t="str">
        <f>HYPERLINK("http://www.eatonpowersource.com/products/configure/steering%20systems/details/209-1014-001","209-1014-001")</f>
        <v>209-1014-001</v>
      </c>
      <c r="B12160" s="10" t="s">
        <v>11740</v>
      </c>
    </row>
    <row r="12161" spans="1:2" x14ac:dyDescent="0.3">
      <c r="A12161" s="7" t="str">
        <f>HYPERLINK("http://www.eatonpowersource.com/products/configure/steering%20systems/details/211-1001-002","211-1001-002")</f>
        <v>211-1001-002</v>
      </c>
      <c r="B12161" s="8" t="s">
        <v>11741</v>
      </c>
    </row>
    <row r="12162" spans="1:2" x14ac:dyDescent="0.3">
      <c r="A12162" s="9" t="str">
        <f>HYPERLINK("http://www.eatonpowersource.com/products/configure/steering%20systems/details/211-1002-002","211-1002-002")</f>
        <v>211-1002-002</v>
      </c>
      <c r="B12162" s="10" t="s">
        <v>11742</v>
      </c>
    </row>
    <row r="12163" spans="1:2" x14ac:dyDescent="0.3">
      <c r="A12163" s="7" t="str">
        <f>HYPERLINK("http://www.eatonpowersource.com/products/configure/steering%20systems/details/211-1008-002","211-1008-002")</f>
        <v>211-1008-002</v>
      </c>
      <c r="B12163" s="8" t="s">
        <v>11743</v>
      </c>
    </row>
    <row r="12164" spans="1:2" x14ac:dyDescent="0.3">
      <c r="A12164" s="9" t="str">
        <f>HYPERLINK("http://www.eatonpowersource.com/products/configure/steering%20systems/details/211-1009-002","211-1009-002")</f>
        <v>211-1009-002</v>
      </c>
      <c r="B12164" s="10" t="s">
        <v>11744</v>
      </c>
    </row>
    <row r="12165" spans="1:2" x14ac:dyDescent="0.3">
      <c r="A12165" s="7" t="str">
        <f>HYPERLINK("http://www.eatonpowersource.com/products/configure/steering%20systems/details/211-1010-002","211-1010-002")</f>
        <v>211-1010-002</v>
      </c>
      <c r="B12165" s="8" t="s">
        <v>11745</v>
      </c>
    </row>
    <row r="12166" spans="1:2" x14ac:dyDescent="0.3">
      <c r="A12166" s="9" t="str">
        <f>HYPERLINK("http://www.eatonpowersource.com/products/configure/steering%20systems/details/211-1011-002","211-1011-002")</f>
        <v>211-1011-002</v>
      </c>
      <c r="B12166" s="10" t="s">
        <v>11746</v>
      </c>
    </row>
    <row r="12167" spans="1:2" x14ac:dyDescent="0.3">
      <c r="A12167" s="7" t="str">
        <f>HYPERLINK("http://www.eatonpowersource.com/products/configure/steering%20systems/details/211-1012-002","211-1012-002")</f>
        <v>211-1012-002</v>
      </c>
      <c r="B12167" s="8" t="s">
        <v>11747</v>
      </c>
    </row>
    <row r="12168" spans="1:2" x14ac:dyDescent="0.3">
      <c r="A12168" s="9" t="str">
        <f>HYPERLINK("http://www.eatonpowersource.com/products/configure/steering%20systems/details/211-1035-002","211-1035-002")</f>
        <v>211-1035-002</v>
      </c>
      <c r="B12168" s="10" t="s">
        <v>11748</v>
      </c>
    </row>
    <row r="12169" spans="1:2" x14ac:dyDescent="0.3">
      <c r="A12169" s="7" t="str">
        <f>HYPERLINK("http://www.eatonpowersource.com/products/configure/steering%20systems/details/211-1137-002","211-1137-002")</f>
        <v>211-1137-002</v>
      </c>
      <c r="B12169" s="8" t="s">
        <v>11749</v>
      </c>
    </row>
    <row r="12170" spans="1:2" x14ac:dyDescent="0.3">
      <c r="A12170" s="9" t="str">
        <f>HYPERLINK("http://www.eatonpowersource.com/products/configure/steering%20systems/details/211-1158-002","211-1158-002")</f>
        <v>211-1158-002</v>
      </c>
      <c r="B12170" s="10" t="s">
        <v>11750</v>
      </c>
    </row>
    <row r="12171" spans="1:2" x14ac:dyDescent="0.3">
      <c r="A12171" s="7" t="str">
        <f>HYPERLINK("http://www.eatonpowersource.com/products/configure/steering%20systems/details/211-1160-002","211-1160-002")</f>
        <v>211-1160-002</v>
      </c>
      <c r="B12171" s="8" t="s">
        <v>11751</v>
      </c>
    </row>
    <row r="12172" spans="1:2" x14ac:dyDescent="0.3">
      <c r="A12172" s="9" t="str">
        <f>HYPERLINK("http://www.eatonpowersource.com/products/configure/steering%20systems/details/211-1167-002","211-1167-002")</f>
        <v>211-1167-002</v>
      </c>
      <c r="B12172" s="10" t="s">
        <v>11752</v>
      </c>
    </row>
    <row r="12173" spans="1:2" x14ac:dyDescent="0.3">
      <c r="A12173" s="7" t="str">
        <f>HYPERLINK("http://www.eatonpowersource.com/products/configure/steering%20systems/details/211-1177-002","211-1177-002")</f>
        <v>211-1177-002</v>
      </c>
      <c r="B12173" s="8" t="s">
        <v>11753</v>
      </c>
    </row>
    <row r="12174" spans="1:2" x14ac:dyDescent="0.3">
      <c r="A12174" s="9" t="str">
        <f>HYPERLINK("http://www.eatonpowersource.com/products/configure/steering%20systems/details/211-1178-002","211-1178-002")</f>
        <v>211-1178-002</v>
      </c>
      <c r="B12174" s="10" t="s">
        <v>11754</v>
      </c>
    </row>
    <row r="12175" spans="1:2" x14ac:dyDescent="0.3">
      <c r="A12175" s="7" t="str">
        <f>HYPERLINK("http://www.eatonpowersource.com/products/configure/steering%20systems/details/211-1179-002","211-1179-002")</f>
        <v>211-1179-002</v>
      </c>
      <c r="B12175" s="8" t="s">
        <v>11755</v>
      </c>
    </row>
    <row r="12176" spans="1:2" x14ac:dyDescent="0.3">
      <c r="A12176" s="9" t="str">
        <f>HYPERLINK("http://www.eatonpowersource.com/products/configure/steering%20systems/details/212-1001-002","212-1001-002")</f>
        <v>212-1001-002</v>
      </c>
      <c r="B12176" s="10" t="s">
        <v>11756</v>
      </c>
    </row>
    <row r="12177" spans="1:2" x14ac:dyDescent="0.3">
      <c r="A12177" s="7" t="str">
        <f>HYPERLINK("http://www.eatonpowersource.com/products/configure/steering%20systems/details/212-1002-002","212-1002-002")</f>
        <v>212-1002-002</v>
      </c>
      <c r="B12177" s="8" t="s">
        <v>11757</v>
      </c>
    </row>
    <row r="12178" spans="1:2" x14ac:dyDescent="0.3">
      <c r="A12178" s="9" t="str">
        <f>HYPERLINK("http://www.eatonpowersource.com/products/configure/steering%20systems/details/212-1003-002","212-1003-002")</f>
        <v>212-1003-002</v>
      </c>
      <c r="B12178" s="10" t="s">
        <v>11758</v>
      </c>
    </row>
    <row r="12179" spans="1:2" x14ac:dyDescent="0.3">
      <c r="A12179" s="7" t="str">
        <f>HYPERLINK("http://www.eatonpowersource.com/products/configure/steering%20systems/details/212-1004-002","212-1004-002")</f>
        <v>212-1004-002</v>
      </c>
      <c r="B12179" s="8" t="s">
        <v>11759</v>
      </c>
    </row>
    <row r="12180" spans="1:2" x14ac:dyDescent="0.3">
      <c r="A12180" s="9" t="str">
        <f>HYPERLINK("http://www.eatonpowersource.com/products/configure/steering%20systems/details/212-1006-002","212-1006-002")</f>
        <v>212-1006-002</v>
      </c>
      <c r="B12180" s="10" t="s">
        <v>11760</v>
      </c>
    </row>
    <row r="12181" spans="1:2" x14ac:dyDescent="0.3">
      <c r="A12181" s="7" t="str">
        <f>HYPERLINK("http://www.eatonpowersource.com/products/configure/steering%20systems/details/212-1014-002","212-1014-002")</f>
        <v>212-1014-002</v>
      </c>
      <c r="B12181" s="8" t="s">
        <v>11761</v>
      </c>
    </row>
    <row r="12182" spans="1:2" x14ac:dyDescent="0.3">
      <c r="A12182" s="9" t="str">
        <f>HYPERLINK("http://www.eatonpowersource.com/products/configure/steering%20systems/details/212-1015-002","212-1015-002")</f>
        <v>212-1015-002</v>
      </c>
      <c r="B12182" s="10" t="s">
        <v>11762</v>
      </c>
    </row>
    <row r="12183" spans="1:2" x14ac:dyDescent="0.3">
      <c r="A12183" s="7" t="str">
        <f>HYPERLINK("http://www.eatonpowersource.com/products/configure/steering%20systems/details/212-1017-002","212-1017-002")</f>
        <v>212-1017-002</v>
      </c>
      <c r="B12183" s="8" t="s">
        <v>11763</v>
      </c>
    </row>
    <row r="12184" spans="1:2" x14ac:dyDescent="0.3">
      <c r="A12184" s="9" t="str">
        <f>HYPERLINK("http://www.eatonpowersource.com/products/configure/steering%20systems/details/212-1070-002","212-1070-002")</f>
        <v>212-1070-002</v>
      </c>
      <c r="B12184" s="10" t="s">
        <v>11764</v>
      </c>
    </row>
    <row r="12185" spans="1:2" x14ac:dyDescent="0.3">
      <c r="A12185" s="7" t="str">
        <f>HYPERLINK("http://www.eatonpowersource.com/products/configure/steering%20systems/details/212-1071-002","212-1071-002")</f>
        <v>212-1071-002</v>
      </c>
      <c r="B12185" s="8" t="s">
        <v>11765</v>
      </c>
    </row>
    <row r="12186" spans="1:2" x14ac:dyDescent="0.3">
      <c r="A12186" s="9" t="str">
        <f>HYPERLINK("http://www.eatonpowersource.com/products/configure/steering%20systems/details/212-1079-002","212-1079-002")</f>
        <v>212-1079-002</v>
      </c>
      <c r="B12186" s="10" t="s">
        <v>11766</v>
      </c>
    </row>
    <row r="12187" spans="1:2" x14ac:dyDescent="0.3">
      <c r="A12187" s="7" t="str">
        <f>HYPERLINK("http://www.eatonpowersource.com/products/configure/steering%20systems/details/212-1086-002","212-1086-002")</f>
        <v>212-1086-002</v>
      </c>
      <c r="B12187" s="8" t="s">
        <v>11767</v>
      </c>
    </row>
    <row r="12188" spans="1:2" x14ac:dyDescent="0.3">
      <c r="A12188" s="9" t="str">
        <f>HYPERLINK("http://www.eatonpowersource.com/products/configure/steering%20systems/details/213-1002-002","213-1002-002")</f>
        <v>213-1002-002</v>
      </c>
      <c r="B12188" s="10" t="s">
        <v>11768</v>
      </c>
    </row>
    <row r="12189" spans="1:2" x14ac:dyDescent="0.3">
      <c r="A12189" s="7" t="str">
        <f>HYPERLINK("http://www.eatonpowersource.com/products/configure/steering%20systems/details/213-1005-002","213-1005-002")</f>
        <v>213-1005-002</v>
      </c>
      <c r="B12189" s="8" t="s">
        <v>11769</v>
      </c>
    </row>
    <row r="12190" spans="1:2" x14ac:dyDescent="0.3">
      <c r="A12190" s="9" t="str">
        <f>HYPERLINK("http://www.eatonpowersource.com/products/configure/steering%20systems/details/213-1006-002","213-1006-002")</f>
        <v>213-1006-002</v>
      </c>
      <c r="B12190" s="10" t="s">
        <v>11770</v>
      </c>
    </row>
    <row r="12191" spans="1:2" x14ac:dyDescent="0.3">
      <c r="A12191" s="7" t="str">
        <f>HYPERLINK("http://www.eatonpowersource.com/products/configure/steering%20systems/details/213-1013-002","213-1013-002")</f>
        <v>213-1013-002</v>
      </c>
      <c r="B12191" s="8" t="s">
        <v>11771</v>
      </c>
    </row>
    <row r="12192" spans="1:2" x14ac:dyDescent="0.3">
      <c r="A12192" s="9" t="str">
        <f>HYPERLINK("http://www.eatonpowersource.com/products/configure/steering%20systems/details/213-1014-002","213-1014-002")</f>
        <v>213-1014-002</v>
      </c>
      <c r="B12192" s="10" t="s">
        <v>11772</v>
      </c>
    </row>
    <row r="12193" spans="1:2" x14ac:dyDescent="0.3">
      <c r="A12193" s="7" t="str">
        <f>HYPERLINK("http://www.eatonpowersource.com/products/configure/steering%20systems/details/213-1086-002","213-1086-002")</f>
        <v>213-1086-002</v>
      </c>
      <c r="B12193" s="8" t="s">
        <v>11773</v>
      </c>
    </row>
    <row r="12194" spans="1:2" x14ac:dyDescent="0.3">
      <c r="A12194" s="9" t="str">
        <f>HYPERLINK("http://www.eatonpowersource.com/products/configure/steering%20systems/details/213-1089-002","213-1089-002")</f>
        <v>213-1089-002</v>
      </c>
      <c r="B12194" s="10" t="s">
        <v>11774</v>
      </c>
    </row>
    <row r="12195" spans="1:2" x14ac:dyDescent="0.3">
      <c r="A12195" s="7" t="str">
        <f>HYPERLINK("http://www.eatonpowersource.com/products/configure/steering%20systems/details/213-4002-002","213-4002-002")</f>
        <v>213-4002-002</v>
      </c>
      <c r="B12195" s="8" t="s">
        <v>11775</v>
      </c>
    </row>
    <row r="12196" spans="1:2" x14ac:dyDescent="0.3">
      <c r="A12196" s="9" t="str">
        <f>HYPERLINK("http://www.eatonpowersource.com/products/configure/steering%20systems/details/213-4044-002","213-4044-002")</f>
        <v>213-4044-002</v>
      </c>
      <c r="B12196" s="10" t="s">
        <v>11776</v>
      </c>
    </row>
    <row r="12197" spans="1:2" x14ac:dyDescent="0.3">
      <c r="A12197" s="7" t="str">
        <f>HYPERLINK("http://www.eatonpowersource.com/products/configure/steering%20systems/details/213-4047-002","213-4047-002")</f>
        <v>213-4047-002</v>
      </c>
      <c r="B12197" s="8" t="s">
        <v>11777</v>
      </c>
    </row>
    <row r="12198" spans="1:2" x14ac:dyDescent="0.3">
      <c r="A12198" s="9" t="str">
        <f>HYPERLINK("http://www.eatonpowersource.com/products/configure/steering%20systems/details/213-4051-002","213-4051-002")</f>
        <v>213-4051-002</v>
      </c>
      <c r="B12198" s="10" t="s">
        <v>11778</v>
      </c>
    </row>
    <row r="12199" spans="1:2" x14ac:dyDescent="0.3">
      <c r="A12199" s="7" t="str">
        <f>HYPERLINK("http://www.eatonpowersource.com/products/configure/steering%20systems/details/217-1015-002","217-1015-002")</f>
        <v>217-1015-002</v>
      </c>
      <c r="B12199" s="8" t="s">
        <v>11779</v>
      </c>
    </row>
    <row r="12200" spans="1:2" x14ac:dyDescent="0.3">
      <c r="A12200" s="9" t="str">
        <f>HYPERLINK("http://www.eatonpowersource.com/products/configure/steering%20systems/details/217-1020-002","217-1020-002")</f>
        <v>217-1020-002</v>
      </c>
      <c r="B12200" s="10" t="s">
        <v>11780</v>
      </c>
    </row>
    <row r="12201" spans="1:2" x14ac:dyDescent="0.3">
      <c r="A12201" s="7" t="str">
        <f>HYPERLINK("http://www.eatonpowersource.com/products/configure/steering%20systems/details/217-1052-002","217-1052-002")</f>
        <v>217-1052-002</v>
      </c>
      <c r="B12201" s="8" t="s">
        <v>11781</v>
      </c>
    </row>
    <row r="12202" spans="1:2" x14ac:dyDescent="0.3">
      <c r="A12202" s="9" t="str">
        <f>HYPERLINK("http://www.eatonpowersource.com/products/configure/steering%20systems/details/217-1055-002","217-1055-002")</f>
        <v>217-1055-002</v>
      </c>
      <c r="B12202" s="10" t="s">
        <v>11782</v>
      </c>
    </row>
    <row r="12203" spans="1:2" x14ac:dyDescent="0.3">
      <c r="A12203" s="7" t="str">
        <f>HYPERLINK("http://www.eatonpowersource.com/products/configure/steering%20systems/details/227-1022-002","227-1022-002")</f>
        <v>227-1022-002</v>
      </c>
      <c r="B12203" s="8" t="s">
        <v>11783</v>
      </c>
    </row>
    <row r="12204" spans="1:2" x14ac:dyDescent="0.3">
      <c r="A12204" s="9" t="str">
        <f>HYPERLINK("http://www.eatonpowersource.com/products/configure/steering%20systems/details/227-1048-002","227-1048-002")</f>
        <v>227-1048-002</v>
      </c>
      <c r="B12204" s="10" t="s">
        <v>11784</v>
      </c>
    </row>
    <row r="12205" spans="1:2" x14ac:dyDescent="0.3">
      <c r="A12205" s="7" t="str">
        <f>HYPERLINK("http://www.eatonpowersource.com/products/configure/steering%20systems/details/227-1050-002","227-1050-002")</f>
        <v>227-1050-002</v>
      </c>
      <c r="B12205" s="8" t="s">
        <v>11785</v>
      </c>
    </row>
    <row r="12206" spans="1:2" x14ac:dyDescent="0.3">
      <c r="A12206" s="9" t="str">
        <f>HYPERLINK("http://www.eatonpowersource.com/products/configure/steering%20systems/details/227-1060-002","227-1060-002")</f>
        <v>227-1060-002</v>
      </c>
      <c r="B12206" s="10" t="s">
        <v>11786</v>
      </c>
    </row>
    <row r="12207" spans="1:2" x14ac:dyDescent="0.3">
      <c r="A12207" s="7" t="str">
        <f>HYPERLINK("http://www.eatonpowersource.com/products/configure/steering%20systems/details/233-3048-003","233-3048-003")</f>
        <v>233-3048-003</v>
      </c>
      <c r="B12207" s="8" t="s">
        <v>11787</v>
      </c>
    </row>
    <row r="12208" spans="1:2" x14ac:dyDescent="0.3">
      <c r="A12208" s="9" t="str">
        <f>HYPERLINK("http://www.eatonpowersource.com/products/configure/steering%20systems/details/233-3051-003","233-3051-003")</f>
        <v>233-3051-003</v>
      </c>
      <c r="B12208" s="10" t="s">
        <v>11788</v>
      </c>
    </row>
    <row r="12209" spans="1:2" x14ac:dyDescent="0.3">
      <c r="A12209" s="7" t="str">
        <f>HYPERLINK("http://www.eatonpowersource.com/products/configure/steering%20systems/details/233-3054-003","233-3054-003")</f>
        <v>233-3054-003</v>
      </c>
      <c r="B12209" s="8" t="s">
        <v>11789</v>
      </c>
    </row>
    <row r="12210" spans="1:2" x14ac:dyDescent="0.3">
      <c r="A12210" s="9" t="str">
        <f>HYPERLINK("http://www.eatonpowersource.com/products/configure/steering%20systems/details/233-3066-003","233-3066-003")</f>
        <v>233-3066-003</v>
      </c>
      <c r="B12210" s="10" t="s">
        <v>11790</v>
      </c>
    </row>
    <row r="12211" spans="1:2" x14ac:dyDescent="0.3">
      <c r="A12211" s="7" t="str">
        <f>HYPERLINK("http://www.eatonpowersource.com/products/configure/steering%20systems/details/233-3084-003","233-3084-003")</f>
        <v>233-3084-003</v>
      </c>
      <c r="B12211" s="8" t="s">
        <v>11791</v>
      </c>
    </row>
    <row r="12212" spans="1:2" x14ac:dyDescent="0.3">
      <c r="A12212" s="9" t="str">
        <f>HYPERLINK("http://www.eatonpowersource.com/products/configure/steering%20systems/details/233-3111-003","233-3111-003")</f>
        <v>233-3111-003</v>
      </c>
      <c r="B12212" s="10" t="s">
        <v>11792</v>
      </c>
    </row>
    <row r="12213" spans="1:2" x14ac:dyDescent="0.3">
      <c r="A12213" s="7" t="str">
        <f>HYPERLINK("http://www.eatonpowersource.com/products/configure/steering%20systems/details/233-3121-003","233-3121-003")</f>
        <v>233-3121-003</v>
      </c>
      <c r="B12213" s="8" t="s">
        <v>11793</v>
      </c>
    </row>
    <row r="12214" spans="1:2" x14ac:dyDescent="0.3">
      <c r="A12214" s="9" t="str">
        <f>HYPERLINK("http://www.eatonpowersource.com/products/configure/steering%20systems/details/233-3132-003","233-3132-003")</f>
        <v>233-3132-003</v>
      </c>
      <c r="B12214" s="10" t="s">
        <v>11794</v>
      </c>
    </row>
    <row r="12215" spans="1:2" x14ac:dyDescent="0.3">
      <c r="A12215" s="7" t="str">
        <f>HYPERLINK("http://www.eatonpowersource.com/products/configure/steering%20systems/details/233-3138-003","233-3138-003")</f>
        <v>233-3138-003</v>
      </c>
      <c r="B12215" s="8" t="s">
        <v>11795</v>
      </c>
    </row>
    <row r="12216" spans="1:2" x14ac:dyDescent="0.3">
      <c r="A12216" s="9" t="str">
        <f>HYPERLINK("http://www.eatonpowersource.com/products/configure/steering%20systems/details/233-3140-003","233-3140-003")</f>
        <v>233-3140-003</v>
      </c>
      <c r="B12216" s="10" t="s">
        <v>11796</v>
      </c>
    </row>
    <row r="12217" spans="1:2" x14ac:dyDescent="0.3">
      <c r="A12217" s="7" t="str">
        <f>HYPERLINK("http://www.eatonpowersource.com/products/configure/steering%20systems/details/233-3141-003","233-3141-003")</f>
        <v>233-3141-003</v>
      </c>
      <c r="B12217" s="8" t="s">
        <v>11797</v>
      </c>
    </row>
    <row r="12218" spans="1:2" x14ac:dyDescent="0.3">
      <c r="A12218" s="9" t="str">
        <f>HYPERLINK("http://www.eatonpowersource.com/products/configure/steering%20systems/details/233-3148-003","233-3148-003")</f>
        <v>233-3148-003</v>
      </c>
      <c r="B12218" s="10" t="s">
        <v>11798</v>
      </c>
    </row>
    <row r="12219" spans="1:2" x14ac:dyDescent="0.3">
      <c r="A12219" s="7" t="str">
        <f>HYPERLINK("http://www.eatonpowersource.com/products/configure/steering%20systems/details/233-3163-003","233-3163-003")</f>
        <v>233-3163-003</v>
      </c>
      <c r="B12219" s="8" t="s">
        <v>11799</v>
      </c>
    </row>
    <row r="12220" spans="1:2" x14ac:dyDescent="0.3">
      <c r="A12220" s="9" t="str">
        <f>HYPERLINK("http://www.eatonpowersource.com/products/configure/steering%20systems/details/233-3164-003","233-3164-003")</f>
        <v>233-3164-003</v>
      </c>
      <c r="B12220" s="10" t="s">
        <v>11800</v>
      </c>
    </row>
    <row r="12221" spans="1:2" x14ac:dyDescent="0.3">
      <c r="A12221" s="7" t="str">
        <f>HYPERLINK("http://www.eatonpowersource.com/products/configure/steering%20systems/details/233-3165-003","233-3165-003")</f>
        <v>233-3165-003</v>
      </c>
      <c r="B12221" s="8" t="s">
        <v>11801</v>
      </c>
    </row>
    <row r="12222" spans="1:2" x14ac:dyDescent="0.3">
      <c r="A12222" s="9" t="str">
        <f>HYPERLINK("http://www.eatonpowersource.com/products/configure/steering%20systems/details/233-3178-003","233-3178-003")</f>
        <v>233-3178-003</v>
      </c>
      <c r="B12222" s="10" t="s">
        <v>11802</v>
      </c>
    </row>
    <row r="12223" spans="1:2" x14ac:dyDescent="0.3">
      <c r="A12223" s="7" t="str">
        <f>HYPERLINK("http://www.eatonpowersource.com/products/configure/steering%20systems/details/233-3182-003","233-3182-003")</f>
        <v>233-3182-003</v>
      </c>
      <c r="B12223" s="8" t="s">
        <v>11803</v>
      </c>
    </row>
    <row r="12224" spans="1:2" x14ac:dyDescent="0.3">
      <c r="A12224" s="9" t="str">
        <f>HYPERLINK("http://www.eatonpowersource.com/products/configure/steering%20systems/details/233-3183-003","233-3183-003")</f>
        <v>233-3183-003</v>
      </c>
      <c r="B12224" s="10" t="s">
        <v>11804</v>
      </c>
    </row>
    <row r="12225" spans="1:2" x14ac:dyDescent="0.3">
      <c r="A12225" s="7" t="str">
        <f>HYPERLINK("http://www.eatonpowersource.com/products/configure/steering%20systems/details/233-3205-003","233-3205-003")</f>
        <v>233-3205-003</v>
      </c>
      <c r="B12225" s="8" t="s">
        <v>11805</v>
      </c>
    </row>
    <row r="12226" spans="1:2" x14ac:dyDescent="0.3">
      <c r="A12226" s="9" t="str">
        <f>HYPERLINK("http://www.eatonpowersource.com/products/configure/steering%20systems/details/233-3206-003","233-3206-003")</f>
        <v>233-3206-003</v>
      </c>
      <c r="B12226" s="10" t="s">
        <v>11806</v>
      </c>
    </row>
    <row r="12227" spans="1:2" x14ac:dyDescent="0.3">
      <c r="A12227" s="7" t="str">
        <f>HYPERLINK("http://www.eatonpowersource.com/products/configure/steering%20systems/details/233-3207-003","233-3207-003")</f>
        <v>233-3207-003</v>
      </c>
      <c r="B12227" s="8" t="s">
        <v>11807</v>
      </c>
    </row>
    <row r="12228" spans="1:2" x14ac:dyDescent="0.3">
      <c r="A12228" s="9" t="str">
        <f>HYPERLINK("http://www.eatonpowersource.com/products/configure/steering%20systems/details/233-3224-003","233-3224-003")</f>
        <v>233-3224-003</v>
      </c>
      <c r="B12228" s="10" t="s">
        <v>11808</v>
      </c>
    </row>
    <row r="12229" spans="1:2" x14ac:dyDescent="0.3">
      <c r="A12229" s="7" t="str">
        <f>HYPERLINK("http://www.eatonpowersource.com/products/configure/steering%20systems/details/233-3243-003","233-3243-003")</f>
        <v>233-3243-003</v>
      </c>
      <c r="B12229" s="8" t="s">
        <v>11809</v>
      </c>
    </row>
    <row r="12230" spans="1:2" x14ac:dyDescent="0.3">
      <c r="A12230" s="9" t="str">
        <f>HYPERLINK("http://www.eatonpowersource.com/products/configure/steering%20systems/details/233-3279-003","233-3279-003")</f>
        <v>233-3279-003</v>
      </c>
      <c r="B12230" s="10" t="s">
        <v>11810</v>
      </c>
    </row>
    <row r="12231" spans="1:2" x14ac:dyDescent="0.3">
      <c r="A12231" s="7" t="str">
        <f>HYPERLINK("http://www.eatonpowersource.com/products/configure/steering%20systems/details/233-3341-003","233-3341-003")</f>
        <v>233-3341-003</v>
      </c>
      <c r="B12231" s="8" t="s">
        <v>11811</v>
      </c>
    </row>
    <row r="12232" spans="1:2" x14ac:dyDescent="0.3">
      <c r="A12232" s="9" t="str">
        <f>HYPERLINK("http://www.eatonpowersource.com/products/configure/steering%20systems/details/233-3359-003","233-3359-003")</f>
        <v>233-3359-003</v>
      </c>
      <c r="B12232" s="10" t="s">
        <v>11812</v>
      </c>
    </row>
    <row r="12233" spans="1:2" x14ac:dyDescent="0.3">
      <c r="A12233" s="7" t="str">
        <f>HYPERLINK("http://www.eatonpowersource.com/products/configure/steering%20systems/details/233-3360-003","233-3360-003")</f>
        <v>233-3360-003</v>
      </c>
      <c r="B12233" s="8" t="s">
        <v>11813</v>
      </c>
    </row>
    <row r="12234" spans="1:2" x14ac:dyDescent="0.3">
      <c r="A12234" s="9" t="str">
        <f>HYPERLINK("http://www.eatonpowersource.com/products/configure/steering%20systems/details/233-4042-003","233-4042-003")</f>
        <v>233-4042-003</v>
      </c>
      <c r="B12234" s="10" t="s">
        <v>11814</v>
      </c>
    </row>
    <row r="12235" spans="1:2" x14ac:dyDescent="0.3">
      <c r="A12235" s="7" t="str">
        <f>HYPERLINK("http://www.eatonpowersource.com/products/configure/steering%20systems/details/233-4043-003","233-4043-003")</f>
        <v>233-4043-003</v>
      </c>
      <c r="B12235" s="8" t="s">
        <v>11815</v>
      </c>
    </row>
    <row r="12236" spans="1:2" x14ac:dyDescent="0.3">
      <c r="A12236" s="9" t="str">
        <f>HYPERLINK("http://www.eatonpowersource.com/products/configure/steering%20systems/details/233-4068-003","233-4068-003")</f>
        <v>233-4068-003</v>
      </c>
      <c r="B12236" s="10" t="s">
        <v>11816</v>
      </c>
    </row>
    <row r="12237" spans="1:2" x14ac:dyDescent="0.3">
      <c r="A12237" s="7" t="str">
        <f>HYPERLINK("http://www.eatonpowersource.com/products/configure/steering%20systems/details/236-3011-003","236-3011-003")</f>
        <v>236-3011-003</v>
      </c>
      <c r="B12237" s="8" t="s">
        <v>11817</v>
      </c>
    </row>
    <row r="12238" spans="1:2" x14ac:dyDescent="0.3">
      <c r="A12238" s="9" t="str">
        <f>HYPERLINK("http://www.eatonpowersource.com/products/configure/steering%20systems/details/236-4004-003","236-4004-003")</f>
        <v>236-4004-003</v>
      </c>
      <c r="B12238" s="10" t="s">
        <v>11817</v>
      </c>
    </row>
    <row r="12239" spans="1:2" x14ac:dyDescent="0.3">
      <c r="A12239" s="7" t="str">
        <f>HYPERLINK("http://www.eatonpowersource.com/products/configure/steering%20systems/details/241-1036-002","241-1036-002")</f>
        <v>241-1036-002</v>
      </c>
      <c r="B12239" s="8" t="s">
        <v>11818</v>
      </c>
    </row>
    <row r="12240" spans="1:2" x14ac:dyDescent="0.3">
      <c r="A12240" s="9" t="str">
        <f>HYPERLINK("http://www.eatonpowersource.com/products/configure/steering%20systems/details/241-1047-222","241-1047-222")</f>
        <v>241-1047-222</v>
      </c>
      <c r="B12240" s="10" t="s">
        <v>11819</v>
      </c>
    </row>
    <row r="12241" spans="1:2" x14ac:dyDescent="0.3">
      <c r="A12241" s="7" t="str">
        <f>HYPERLINK("http://www.eatonpowersource.com/products/configure/steering%20systems/details/241-1083-002","241-1083-002")</f>
        <v>241-1083-002</v>
      </c>
      <c r="B12241" s="8" t="s">
        <v>11820</v>
      </c>
    </row>
    <row r="12242" spans="1:2" x14ac:dyDescent="0.3">
      <c r="A12242" s="9" t="str">
        <f>HYPERLINK("http://www.eatonpowersource.com/products/configure/steering%20systems/details/241-5027-002","241-5027-002")</f>
        <v>241-5027-002</v>
      </c>
      <c r="B12242" s="10" t="s">
        <v>11821</v>
      </c>
    </row>
    <row r="12243" spans="1:2" x14ac:dyDescent="0.3">
      <c r="A12243" s="7" t="str">
        <f>HYPERLINK("http://www.eatonpowersource.com/products/configure/steering%20systems/details/241-5029-002","241-5029-002")</f>
        <v>241-5029-002</v>
      </c>
      <c r="B12243" s="8" t="s">
        <v>11822</v>
      </c>
    </row>
    <row r="12244" spans="1:2" x14ac:dyDescent="0.3">
      <c r="A12244" s="9" t="str">
        <f>HYPERLINK("http://www.eatonpowersource.com/products/configure/steering%20systems/details/243-4022-002","243-4022-002")</f>
        <v>243-4022-002</v>
      </c>
      <c r="B12244" s="10" t="s">
        <v>11823</v>
      </c>
    </row>
    <row r="12245" spans="1:2" x14ac:dyDescent="0.3">
      <c r="A12245" s="7" t="str">
        <f>HYPERLINK("http://www.eatonpowersource.com/products/configure/steering%20systems/details/244-5008-002","244-5008-002")</f>
        <v>244-5008-002</v>
      </c>
      <c r="B12245" s="8" t="s">
        <v>11824</v>
      </c>
    </row>
    <row r="12246" spans="1:2" x14ac:dyDescent="0.3">
      <c r="A12246" s="9" t="str">
        <f>HYPERLINK("http://www.eatonpowersource.com/products/configure/steering%20systems/details/251-1001-004","251-1001-004")</f>
        <v>251-1001-004</v>
      </c>
      <c r="B12246" s="10" t="s">
        <v>11825</v>
      </c>
    </row>
    <row r="12247" spans="1:2" x14ac:dyDescent="0.3">
      <c r="A12247" s="7" t="str">
        <f>HYPERLINK("http://www.eatonpowersource.com/products/configure/steering%20systems/details/251-1003-004","251-1003-004")</f>
        <v>251-1003-004</v>
      </c>
      <c r="B12247" s="8" t="s">
        <v>11826</v>
      </c>
    </row>
    <row r="12248" spans="1:2" x14ac:dyDescent="0.3">
      <c r="A12248" s="9" t="str">
        <f>HYPERLINK("http://www.eatonpowersource.com/products/configure/steering%20systems/details/251-1004-004","251-1004-004")</f>
        <v>251-1004-004</v>
      </c>
      <c r="B12248" s="10" t="s">
        <v>11827</v>
      </c>
    </row>
    <row r="12249" spans="1:2" x14ac:dyDescent="0.3">
      <c r="A12249" s="7" t="str">
        <f>HYPERLINK("http://www.eatonpowersource.com/products/configure/steering%20systems/details/251-1005-004","251-1005-004")</f>
        <v>251-1005-004</v>
      </c>
      <c r="B12249" s="8" t="s">
        <v>11828</v>
      </c>
    </row>
    <row r="12250" spans="1:2" x14ac:dyDescent="0.3">
      <c r="A12250" s="9" t="str">
        <f>HYPERLINK("http://www.eatonpowersource.com/products/configure/steering%20systems/details/251-1012-004","251-1012-004")</f>
        <v>251-1012-004</v>
      </c>
      <c r="B12250" s="10" t="s">
        <v>11829</v>
      </c>
    </row>
    <row r="12251" spans="1:2" x14ac:dyDescent="0.3">
      <c r="A12251" s="7" t="str">
        <f>HYPERLINK("http://www.eatonpowersource.com/products/configure/steering%20systems/details/251-1020-004","251-1020-004")</f>
        <v>251-1020-004</v>
      </c>
      <c r="B12251" s="8" t="s">
        <v>11830</v>
      </c>
    </row>
    <row r="12252" spans="1:2" x14ac:dyDescent="0.3">
      <c r="A12252" s="9" t="str">
        <f>HYPERLINK("http://www.eatonpowersource.com/products/configure/steering%20systems/details/252-1002-004","252-1002-004")</f>
        <v>252-1002-004</v>
      </c>
      <c r="B12252" s="10" t="s">
        <v>11831</v>
      </c>
    </row>
    <row r="12253" spans="1:2" x14ac:dyDescent="0.3">
      <c r="A12253" s="7" t="str">
        <f>HYPERLINK("http://www.eatonpowersource.com/products/configure/steering%20systems/details/252-1003-004","252-1003-004")</f>
        <v>252-1003-004</v>
      </c>
      <c r="B12253" s="8" t="s">
        <v>11832</v>
      </c>
    </row>
    <row r="12254" spans="1:2" x14ac:dyDescent="0.3">
      <c r="A12254" s="9" t="str">
        <f>HYPERLINK("http://www.eatonpowersource.com/products/configure/steering%20systems/details/252-1004-004","252-1004-004")</f>
        <v>252-1004-004</v>
      </c>
      <c r="B12254" s="10" t="s">
        <v>11833</v>
      </c>
    </row>
    <row r="12255" spans="1:2" x14ac:dyDescent="0.3">
      <c r="A12255" s="7" t="str">
        <f>HYPERLINK("http://www.eatonpowersource.com/products/configure/steering%20systems/details/252-1005-004","252-1005-004")</f>
        <v>252-1005-004</v>
      </c>
      <c r="B12255" s="8" t="s">
        <v>11834</v>
      </c>
    </row>
    <row r="12256" spans="1:2" x14ac:dyDescent="0.3">
      <c r="A12256" s="9" t="str">
        <f>HYPERLINK("http://www.eatonpowersource.com/products/configure/steering%20systems/details/252-1010-004","252-1010-004")</f>
        <v>252-1010-004</v>
      </c>
      <c r="B12256" s="10" t="s">
        <v>11835</v>
      </c>
    </row>
    <row r="12257" spans="1:2" x14ac:dyDescent="0.3">
      <c r="A12257" s="7" t="str">
        <f>HYPERLINK("http://www.eatonpowersource.com/products/configure/steering%20systems/details/253-1003-004","253-1003-004")</f>
        <v>253-1003-004</v>
      </c>
      <c r="B12257" s="8" t="s">
        <v>11836</v>
      </c>
    </row>
    <row r="12258" spans="1:2" x14ac:dyDescent="0.3">
      <c r="A12258" s="9" t="str">
        <f>HYPERLINK("http://www.eatonpowersource.com/products/configure/steering%20systems/details/253-1004-004","253-1004-004")</f>
        <v>253-1004-004</v>
      </c>
      <c r="B12258" s="10" t="s">
        <v>11837</v>
      </c>
    </row>
    <row r="12259" spans="1:2" x14ac:dyDescent="0.3">
      <c r="A12259" s="7" t="str">
        <f>HYPERLINK("http://www.eatonpowersource.com/products/configure/steering%20systems/details/253-1025-004","253-1025-004")</f>
        <v>253-1025-004</v>
      </c>
      <c r="B12259" s="8" t="s">
        <v>11838</v>
      </c>
    </row>
    <row r="12260" spans="1:2" x14ac:dyDescent="0.3">
      <c r="A12260" s="9" t="str">
        <f>HYPERLINK("http://www.eatonpowersource.com/products/configure/steering%20systems/details/253-1042-004","253-1042-004")</f>
        <v>253-1042-004</v>
      </c>
      <c r="B12260" s="10" t="s">
        <v>11839</v>
      </c>
    </row>
    <row r="12261" spans="1:2" x14ac:dyDescent="0.3">
      <c r="A12261" s="7" t="str">
        <f>HYPERLINK("http://www.eatonpowersource.com/products/configure/steering%20systems/details/253-1045-004","253-1045-004")</f>
        <v>253-1045-004</v>
      </c>
      <c r="B12261" s="8" t="s">
        <v>11840</v>
      </c>
    </row>
    <row r="12262" spans="1:2" x14ac:dyDescent="0.3">
      <c r="A12262" s="9" t="str">
        <f>HYPERLINK("http://www.eatonpowersource.com/products/configure/steering%20systems/details/253-1046-004","253-1046-004")</f>
        <v>253-1046-004</v>
      </c>
      <c r="B12262" s="10" t="s">
        <v>11841</v>
      </c>
    </row>
    <row r="12263" spans="1:2" x14ac:dyDescent="0.3">
      <c r="A12263" s="7" t="str">
        <f>HYPERLINK("http://www.eatonpowersource.com/products/configure/steering%20systems/details/253-3011-004","253-3011-004")</f>
        <v>253-3011-004</v>
      </c>
      <c r="B12263" s="8" t="s">
        <v>11842</v>
      </c>
    </row>
    <row r="12264" spans="1:2" x14ac:dyDescent="0.3">
      <c r="A12264" s="9" t="str">
        <f>HYPERLINK("http://www.eatonpowersource.com/products/configure/steering%20systems/details/253-3044-004","253-3044-004")</f>
        <v>253-3044-004</v>
      </c>
      <c r="B12264" s="10" t="s">
        <v>11843</v>
      </c>
    </row>
    <row r="12265" spans="1:2" x14ac:dyDescent="0.3">
      <c r="A12265" s="7" t="str">
        <f>HYPERLINK("http://www.eatonpowersource.com/products/configure/steering%20systems/details/253-3045-004","253-3045-004")</f>
        <v>253-3045-004</v>
      </c>
      <c r="B12265" s="8" t="s">
        <v>11844</v>
      </c>
    </row>
    <row r="12266" spans="1:2" x14ac:dyDescent="0.3">
      <c r="A12266" s="9" t="str">
        <f>HYPERLINK("http://www.eatonpowersource.com/products/configure/steering%20systems/details/253-3055-004","253-3055-004")</f>
        <v>253-3055-004</v>
      </c>
      <c r="B12266" s="10" t="s">
        <v>11845</v>
      </c>
    </row>
    <row r="12267" spans="1:2" x14ac:dyDescent="0.3">
      <c r="A12267" s="7" t="str">
        <f>HYPERLINK("http://www.eatonpowersource.com/products/configure/steering%20systems/details/253-3057-004","253-3057-004")</f>
        <v>253-3057-004</v>
      </c>
      <c r="B12267" s="8" t="s">
        <v>11846</v>
      </c>
    </row>
    <row r="12268" spans="1:2" x14ac:dyDescent="0.3">
      <c r="A12268" s="9" t="str">
        <f>HYPERLINK("http://www.eatonpowersource.com/products/configure/steering%20systems/details/253-3064-004","253-3064-004")</f>
        <v>253-3064-004</v>
      </c>
      <c r="B12268" s="10" t="s">
        <v>11847</v>
      </c>
    </row>
    <row r="12269" spans="1:2" x14ac:dyDescent="0.3">
      <c r="A12269" s="7" t="str">
        <f>HYPERLINK("http://www.eatonpowersource.com/products/configure/steering%20systems/details/253-3071-004","253-3071-004")</f>
        <v>253-3071-004</v>
      </c>
      <c r="B12269" s="8" t="s">
        <v>11848</v>
      </c>
    </row>
    <row r="12270" spans="1:2" x14ac:dyDescent="0.3">
      <c r="A12270" s="9" t="str">
        <f>HYPERLINK("http://www.eatonpowersource.com/products/configure/steering%20systems/details/253-3078-004","253-3078-004")</f>
        <v>253-3078-004</v>
      </c>
      <c r="B12270" s="10" t="s">
        <v>11849</v>
      </c>
    </row>
    <row r="12271" spans="1:2" x14ac:dyDescent="0.3">
      <c r="A12271" s="7" t="str">
        <f>HYPERLINK("http://www.eatonpowersource.com/products/configure/steering%20systems/details/253-3079-004","253-3079-004")</f>
        <v>253-3079-004</v>
      </c>
      <c r="B12271" s="8" t="s">
        <v>11850</v>
      </c>
    </row>
    <row r="12272" spans="1:2" x14ac:dyDescent="0.3">
      <c r="A12272" s="9" t="str">
        <f>HYPERLINK("http://www.eatonpowersource.com/products/configure/steering%20systems/details/253-3100-004","253-3100-004")</f>
        <v>253-3100-004</v>
      </c>
      <c r="B12272" s="10" t="s">
        <v>11851</v>
      </c>
    </row>
    <row r="12273" spans="1:2" x14ac:dyDescent="0.3">
      <c r="A12273" s="7" t="str">
        <f>HYPERLINK("http://www.eatonpowersource.com/products/configure/steering%20systems/details/253-3107-004","253-3107-004")</f>
        <v>253-3107-004</v>
      </c>
      <c r="B12273" s="8" t="s">
        <v>11852</v>
      </c>
    </row>
    <row r="12274" spans="1:2" x14ac:dyDescent="0.3">
      <c r="A12274" s="9" t="str">
        <f>HYPERLINK("http://www.eatonpowersource.com/products/configure/steering%20systems/details/253-3116-004","253-3116-004")</f>
        <v>253-3116-004</v>
      </c>
      <c r="B12274" s="10" t="s">
        <v>11853</v>
      </c>
    </row>
    <row r="12275" spans="1:2" x14ac:dyDescent="0.3">
      <c r="A12275" s="7" t="str">
        <f>HYPERLINK("http://www.eatonpowersource.com/products/configure/steering%20systems/details/253-3117-004","253-3117-004")</f>
        <v>253-3117-004</v>
      </c>
      <c r="B12275" s="8" t="s">
        <v>11854</v>
      </c>
    </row>
    <row r="12276" spans="1:2" x14ac:dyDescent="0.3">
      <c r="A12276" s="9" t="str">
        <f>HYPERLINK("http://www.eatonpowersource.com/products/configure/steering%20systems/details/261-1214-112","261-1214-112")</f>
        <v>261-1214-112</v>
      </c>
      <c r="B12276" s="10" t="s">
        <v>11855</v>
      </c>
    </row>
    <row r="12277" spans="1:2" x14ac:dyDescent="0.3">
      <c r="A12277" s="7" t="str">
        <f>HYPERLINK("http://www.eatonpowersource.com/products/configure/steering%20systems/details/261-1452-002","261-1452-002")</f>
        <v>261-1452-002</v>
      </c>
      <c r="B12277" s="8" t="s">
        <v>11856</v>
      </c>
    </row>
    <row r="12278" spans="1:2" x14ac:dyDescent="0.3">
      <c r="A12278" s="9" t="str">
        <f>HYPERLINK("http://www.eatonpowersource.com/products/configure/steering%20systems/details/261-1486-002","261-1486-002")</f>
        <v>261-1486-002</v>
      </c>
      <c r="B12278" s="10" t="s">
        <v>11857</v>
      </c>
    </row>
    <row r="12279" spans="1:2" x14ac:dyDescent="0.3">
      <c r="A12279" s="7" t="str">
        <f>HYPERLINK("http://www.eatonpowersource.com/products/configure/steering%20systems/details/262-1146-082","262-1146-082")</f>
        <v>262-1146-082</v>
      </c>
      <c r="B12279" s="8" t="s">
        <v>11858</v>
      </c>
    </row>
    <row r="12280" spans="1:2" x14ac:dyDescent="0.3">
      <c r="A12280" s="9" t="str">
        <f>HYPERLINK("http://www.eatonpowersource.com/products/configure/steering%20systems/details/262-1183-002","262-1183-002")</f>
        <v>262-1183-002</v>
      </c>
      <c r="B12280" s="10" t="s">
        <v>11859</v>
      </c>
    </row>
    <row r="12281" spans="1:2" x14ac:dyDescent="0.3">
      <c r="A12281" s="7" t="str">
        <f>HYPERLINK("http://www.eatonpowersource.com/products/configure/steering%20systems/details/262-3013-002","262-3013-002")</f>
        <v>262-3013-002</v>
      </c>
      <c r="B12281" s="8" t="s">
        <v>11860</v>
      </c>
    </row>
    <row r="12282" spans="1:2" x14ac:dyDescent="0.3">
      <c r="A12282" s="9" t="str">
        <f>HYPERLINK("http://www.eatonpowersource.com/products/configure/steering%20systems/details/263-1104-002","263-1104-002")</f>
        <v>263-1104-002</v>
      </c>
      <c r="B12282" s="10" t="s">
        <v>11861</v>
      </c>
    </row>
    <row r="12283" spans="1:2" x14ac:dyDescent="0.3">
      <c r="A12283" s="7" t="str">
        <f>HYPERLINK("http://www.eatonpowersource.com/products/configure/steering%20systems/details/263-1166-002","263-1166-002")</f>
        <v>263-1166-002</v>
      </c>
      <c r="B12283" s="8" t="s">
        <v>11862</v>
      </c>
    </row>
    <row r="12284" spans="1:2" x14ac:dyDescent="0.3">
      <c r="A12284" s="9" t="str">
        <f>HYPERLINK("http://www.eatonpowersource.com/products/configure/steering%20systems/details/263-3001-082","263-3001-082")</f>
        <v>263-3001-082</v>
      </c>
      <c r="B12284" s="10" t="s">
        <v>11863</v>
      </c>
    </row>
    <row r="12285" spans="1:2" x14ac:dyDescent="0.3">
      <c r="A12285" s="7" t="str">
        <f>HYPERLINK("http://www.eatonpowersource.com/products/configure/steering%20systems/details/263-3280-002","263-3280-002")</f>
        <v>263-3280-002</v>
      </c>
      <c r="B12285" s="8" t="s">
        <v>11864</v>
      </c>
    </row>
    <row r="12286" spans="1:2" x14ac:dyDescent="0.3">
      <c r="A12286" s="9" t="str">
        <f>HYPERLINK("http://www.eatonpowersource.com/products/configure/steering%20systems/details/263-3343-002","263-3343-002")</f>
        <v>263-3343-002</v>
      </c>
      <c r="B12286" s="10" t="s">
        <v>11865</v>
      </c>
    </row>
    <row r="12287" spans="1:2" x14ac:dyDescent="0.3">
      <c r="A12287" s="7" t="str">
        <f>HYPERLINK("http://www.eatonpowersource.com/products/configure/steering%20systems/details/263-4047-082","263-4047-082")</f>
        <v>263-4047-082</v>
      </c>
      <c r="B12287" s="8" t="s">
        <v>11866</v>
      </c>
    </row>
    <row r="12288" spans="1:2" x14ac:dyDescent="0.3">
      <c r="A12288" s="9" t="str">
        <f>HYPERLINK("http://www.eatonpowersource.com/products/configure/steering%20systems/details/263-4052-082","263-4052-082")</f>
        <v>263-4052-082</v>
      </c>
      <c r="B12288" s="10" t="s">
        <v>11867</v>
      </c>
    </row>
    <row r="12289" spans="1:2" x14ac:dyDescent="0.3">
      <c r="A12289" s="7" t="str">
        <f>HYPERLINK("http://www.eatonpowersource.com/products/configure/steering%20systems/details/263-4066-082","263-4066-082")</f>
        <v>263-4066-082</v>
      </c>
      <c r="B12289" s="8" t="s">
        <v>11868</v>
      </c>
    </row>
    <row r="12290" spans="1:2" x14ac:dyDescent="0.3">
      <c r="A12290" s="9" t="str">
        <f>HYPERLINK("http://www.eatonpowersource.com/products/configure/steering%20systems/details/263-4252-002","263-4252-002")</f>
        <v>263-4252-002</v>
      </c>
      <c r="B12290" s="10" t="s">
        <v>11869</v>
      </c>
    </row>
    <row r="12291" spans="1:2" x14ac:dyDescent="0.3">
      <c r="A12291" s="7" t="str">
        <f>HYPERLINK("http://www.eatonpowersource.com/products/configure/steering%20systems/details/263-4288-002","263-4288-002")</f>
        <v>263-4288-002</v>
      </c>
      <c r="B12291" s="8" t="s">
        <v>11870</v>
      </c>
    </row>
    <row r="12292" spans="1:2" x14ac:dyDescent="0.3">
      <c r="A12292" s="9" t="str">
        <f>HYPERLINK("http://www.eatonpowersource.com/products/configure/steering%20systems/details/263-4539-002","263-4539-002")</f>
        <v>263-4539-002</v>
      </c>
      <c r="B12292" s="10" t="s">
        <v>11871</v>
      </c>
    </row>
    <row r="12293" spans="1:2" x14ac:dyDescent="0.3">
      <c r="A12293" s="7" t="str">
        <f>HYPERLINK("http://www.eatonpowersource.com/products/configure/steering%20systems/details/264-1015-003","264-1015-003")</f>
        <v>264-1015-003</v>
      </c>
      <c r="B12293" s="8" t="s">
        <v>11872</v>
      </c>
    </row>
    <row r="12294" spans="1:2" x14ac:dyDescent="0.3">
      <c r="A12294" s="9" t="str">
        <f>HYPERLINK("http://www.eatonpowersource.com/products/configure/steering%20systems/details/266-3023-002","266-3023-002")</f>
        <v>266-3023-002</v>
      </c>
      <c r="B12294" s="10" t="s">
        <v>11873</v>
      </c>
    </row>
    <row r="12295" spans="1:2" x14ac:dyDescent="0.3">
      <c r="A12295" s="7" t="str">
        <f>HYPERLINK("http://www.eatonpowersource.com/products/configure/steering%20systems/details/281-1002-003","281-1002-003")</f>
        <v>281-1002-003</v>
      </c>
      <c r="B12295" s="8" t="s">
        <v>11874</v>
      </c>
    </row>
    <row r="12296" spans="1:2" x14ac:dyDescent="0.3">
      <c r="A12296" s="9" t="str">
        <f>HYPERLINK("http://www.eatonpowersource.com/products/configure/steering%20systems/details/281-1004-002","281-1004-002")</f>
        <v>281-1004-002</v>
      </c>
      <c r="B12296" s="10" t="s">
        <v>11875</v>
      </c>
    </row>
    <row r="12297" spans="1:2" x14ac:dyDescent="0.3">
      <c r="A12297" s="7" t="str">
        <f>HYPERLINK("http://www.eatonpowersource.com/products/configure/steering%20systems/details/282-1002-003","282-1002-003")</f>
        <v>282-1002-003</v>
      </c>
      <c r="B12297" s="8" t="s">
        <v>11876</v>
      </c>
    </row>
    <row r="12298" spans="1:2" x14ac:dyDescent="0.3">
      <c r="A12298" s="9" t="str">
        <f>HYPERLINK("http://www.eatonpowersource.com/products/configure/steering%20systems/details/282-1005-003","282-1005-003")</f>
        <v>282-1005-003</v>
      </c>
      <c r="B12298" s="10" t="s">
        <v>11877</v>
      </c>
    </row>
    <row r="12299" spans="1:2" x14ac:dyDescent="0.3">
      <c r="A12299" s="7" t="str">
        <f>HYPERLINK("http://www.eatonpowersource.com/products/configure/steering%20systems/details/282-1011-003","282-1011-003")</f>
        <v>282-1011-003</v>
      </c>
      <c r="B12299" s="8" t="s">
        <v>11878</v>
      </c>
    </row>
    <row r="12300" spans="1:2" x14ac:dyDescent="0.3">
      <c r="A12300" s="9" t="str">
        <f>HYPERLINK("http://www.eatonpowersource.com/products/configure/steering%20systems/details/282-1014-003","282-1014-003")</f>
        <v>282-1014-003</v>
      </c>
      <c r="B12300" s="10" t="s">
        <v>11879</v>
      </c>
    </row>
    <row r="12301" spans="1:2" x14ac:dyDescent="0.3">
      <c r="A12301" s="7" t="str">
        <f>HYPERLINK("http://www.eatonpowersource.com/products/configure/steering%20systems/details/282-1020-003","282-1020-003")</f>
        <v>282-1020-003</v>
      </c>
      <c r="B12301" s="8" t="s">
        <v>11880</v>
      </c>
    </row>
    <row r="12302" spans="1:2" x14ac:dyDescent="0.3">
      <c r="A12302" s="9" t="str">
        <f>HYPERLINK("http://www.eatonpowersource.com/products/configure/steering%20systems/details/282-1023-003","282-1023-003")</f>
        <v>282-1023-003</v>
      </c>
      <c r="B12302" s="10" t="s">
        <v>11881</v>
      </c>
    </row>
    <row r="12303" spans="1:2" x14ac:dyDescent="0.3">
      <c r="A12303" s="7" t="str">
        <f>HYPERLINK("http://www.eatonpowersource.com/products/configure/steering%20systems/details/283-1005-003","283-1005-003")</f>
        <v>283-1005-003</v>
      </c>
      <c r="B12303" s="8" t="s">
        <v>11882</v>
      </c>
    </row>
    <row r="12304" spans="1:2" x14ac:dyDescent="0.3">
      <c r="A12304" s="9" t="str">
        <f>HYPERLINK("http://www.eatonpowersource.com/products/configure/steering%20systems/details/283-1006-003","283-1006-003")</f>
        <v>283-1006-003</v>
      </c>
      <c r="B12304" s="10" t="s">
        <v>11883</v>
      </c>
    </row>
    <row r="12305" spans="1:2" x14ac:dyDescent="0.3">
      <c r="A12305" s="7" t="str">
        <f>HYPERLINK("http://www.eatonpowersource.com/products/configure/steering%20systems/details/291-1034-003","291-1034-003")</f>
        <v>291-1034-003</v>
      </c>
      <c r="B12305" s="8" t="s">
        <v>11884</v>
      </c>
    </row>
    <row r="12306" spans="1:2" x14ac:dyDescent="0.3">
      <c r="A12306" s="9" t="str">
        <f>HYPERLINK("http://www.eatonpowersource.com/products/configure/steering%20systems/details/291-1043-003","291-1043-003")</f>
        <v>291-1043-003</v>
      </c>
      <c r="B12306" s="10" t="s">
        <v>11885</v>
      </c>
    </row>
    <row r="12307" spans="1:2" x14ac:dyDescent="0.3">
      <c r="A12307" s="7" t="str">
        <f>HYPERLINK("http://www.eatonpowersource.com/products/configure/steering%20systems/details/291-1044-003","291-1044-003")</f>
        <v>291-1044-003</v>
      </c>
      <c r="B12307" s="8" t="s">
        <v>11886</v>
      </c>
    </row>
    <row r="12308" spans="1:2" x14ac:dyDescent="0.3">
      <c r="A12308" s="9" t="str">
        <f>HYPERLINK("http://www.eatonpowersource.com/products/configure/steering%20systems/details/291-1048-003","291-1048-003")</f>
        <v>291-1048-003</v>
      </c>
      <c r="B12308" s="10" t="s">
        <v>11887</v>
      </c>
    </row>
    <row r="12309" spans="1:2" x14ac:dyDescent="0.3">
      <c r="A12309" s="7" t="str">
        <f>HYPERLINK("http://www.eatonpowersource.com/products/configure/steering%20systems/details/291-1237-003","291-1237-003")</f>
        <v>291-1237-003</v>
      </c>
      <c r="B12309" s="8" t="s">
        <v>11888</v>
      </c>
    </row>
    <row r="12310" spans="1:2" x14ac:dyDescent="0.3">
      <c r="A12310" s="9" t="str">
        <f>HYPERLINK("http://www.eatonpowersource.com/products/configure/steering%20systems/details/291-1259-003","291-1259-003")</f>
        <v>291-1259-003</v>
      </c>
      <c r="B12310" s="10" t="s">
        <v>11889</v>
      </c>
    </row>
    <row r="12311" spans="1:2" x14ac:dyDescent="0.3">
      <c r="A12311" s="7" t="str">
        <f>HYPERLINK("http://www.eatonpowersource.com/products/configure/steering%20systems/details/291-1287-003","291-1287-003")</f>
        <v>291-1287-003</v>
      </c>
      <c r="B12311" s="8" t="s">
        <v>11890</v>
      </c>
    </row>
    <row r="12312" spans="1:2" x14ac:dyDescent="0.3">
      <c r="A12312" s="9" t="str">
        <f>HYPERLINK("http://www.eatonpowersource.com/products/configure/steering%20systems/details/291-5115-003","291-5115-003")</f>
        <v>291-5115-003</v>
      </c>
      <c r="B12312" s="10" t="s">
        <v>11891</v>
      </c>
    </row>
    <row r="12313" spans="1:2" x14ac:dyDescent="0.3">
      <c r="A12313" s="7" t="str">
        <f>HYPERLINK("http://www.eatonpowersource.com/products/configure/steering%20systems/details/291-5138-003","291-5138-003")</f>
        <v>291-5138-003</v>
      </c>
      <c r="B12313" s="8" t="s">
        <v>11892</v>
      </c>
    </row>
    <row r="12314" spans="1:2" x14ac:dyDescent="0.3">
      <c r="A12314" s="9" t="str">
        <f>HYPERLINK("http://www.eatonpowersource.com/products/configure/steering%20systems/details/291-5139-003","291-5139-003")</f>
        <v>291-5139-003</v>
      </c>
      <c r="B12314" s="10" t="s">
        <v>11893</v>
      </c>
    </row>
    <row r="12315" spans="1:2" x14ac:dyDescent="0.3">
      <c r="A12315" s="7" t="str">
        <f>HYPERLINK("http://www.eatonpowersource.com/products/configure/steering%20systems/details/291-5156-003","291-5156-003")</f>
        <v>291-5156-003</v>
      </c>
      <c r="B12315" s="8" t="s">
        <v>11894</v>
      </c>
    </row>
    <row r="12316" spans="1:2" x14ac:dyDescent="0.3">
      <c r="A12316" s="9" t="str">
        <f>HYPERLINK("http://www.eatonpowersource.com/products/configure/steering%20systems/details/291-5166-003","291-5166-003")</f>
        <v>291-5166-003</v>
      </c>
      <c r="B12316" s="10" t="s">
        <v>11895</v>
      </c>
    </row>
    <row r="12317" spans="1:2" x14ac:dyDescent="0.3">
      <c r="A12317" s="7" t="str">
        <f>HYPERLINK("http://www.eatonpowersource.com/products/configure/steering%20systems/details/291-5190-003","291-5190-003")</f>
        <v>291-5190-003</v>
      </c>
      <c r="B12317" s="8" t="s">
        <v>11896</v>
      </c>
    </row>
    <row r="12318" spans="1:2" x14ac:dyDescent="0.3">
      <c r="A12318" s="9" t="str">
        <f>HYPERLINK("http://www.eatonpowersource.com/products/configure/steering%20systems/details/291-5260-003","291-5260-003")</f>
        <v>291-5260-003</v>
      </c>
      <c r="B12318" s="10" t="s">
        <v>11897</v>
      </c>
    </row>
    <row r="12319" spans="1:2" x14ac:dyDescent="0.3">
      <c r="A12319" s="7" t="str">
        <f>HYPERLINK("http://www.eatonpowersource.com/products/configure/steering%20systems/details/291-5266-003","291-5266-003")</f>
        <v>291-5266-003</v>
      </c>
      <c r="B12319" s="8" t="s">
        <v>11898</v>
      </c>
    </row>
    <row r="12320" spans="1:2" x14ac:dyDescent="0.3">
      <c r="A12320" s="9" t="str">
        <f>HYPERLINK("http://www.eatonpowersource.com/products/configure/steering%20systems/details/291-5269-003","291-5269-003")</f>
        <v>291-5269-003</v>
      </c>
      <c r="B12320" s="10" t="s">
        <v>11899</v>
      </c>
    </row>
    <row r="12321" spans="1:2" x14ac:dyDescent="0.3">
      <c r="A12321" s="7" t="str">
        <f>HYPERLINK("http://www.eatonpowersource.com/products/configure/steering%20systems/details/291-5270-003","291-5270-003")</f>
        <v>291-5270-003</v>
      </c>
      <c r="B12321" s="8" t="s">
        <v>11900</v>
      </c>
    </row>
    <row r="12322" spans="1:2" x14ac:dyDescent="0.3">
      <c r="A12322" s="9" t="str">
        <f>HYPERLINK("http://www.eatonpowersource.com/products/configure/steering%20systems/details/293-4031-003","293-4031-003")</f>
        <v>293-4031-003</v>
      </c>
      <c r="B12322" s="10" t="s">
        <v>11901</v>
      </c>
    </row>
    <row r="12323" spans="1:2" x14ac:dyDescent="0.3">
      <c r="A12323" s="7" t="str">
        <f>HYPERLINK("http://www.eatonpowersource.com/products/configure/steering%20systems/details/293-4099-003","293-4099-003")</f>
        <v>293-4099-003</v>
      </c>
      <c r="B12323" s="8" t="s">
        <v>11902</v>
      </c>
    </row>
    <row r="12324" spans="1:2" x14ac:dyDescent="0.3">
      <c r="A12324" s="9" t="str">
        <f>HYPERLINK("http://www.eatonpowersource.com/products/configure/pumps/details/3323-100","3323-100")</f>
        <v>3323-100</v>
      </c>
      <c r="B12324" s="10" t="s">
        <v>11903</v>
      </c>
    </row>
    <row r="12325" spans="1:2" x14ac:dyDescent="0.3">
      <c r="A12325" s="7" t="str">
        <f>HYPERLINK("http://www.eatonpowersource.com/products/configure/pumps/details/3333-001","3333-001")</f>
        <v>3333-001</v>
      </c>
      <c r="B12325" s="8" t="s">
        <v>11904</v>
      </c>
    </row>
    <row r="12326" spans="1:2" x14ac:dyDescent="0.3">
      <c r="A12326" s="9" t="str">
        <f>HYPERLINK("http://www.eatonpowersource.com/products/configure/pumps/details/3333-004","3333-004")</f>
        <v>3333-004</v>
      </c>
      <c r="B12326" s="10" t="s">
        <v>11905</v>
      </c>
    </row>
    <row r="12327" spans="1:2" x14ac:dyDescent="0.3">
      <c r="A12327" s="7" t="str">
        <f>HYPERLINK("http://www.eatonpowersource.com/products/configure/pumps/details/3333-008","3333-008")</f>
        <v>3333-008</v>
      </c>
      <c r="B12327" s="8" t="s">
        <v>11906</v>
      </c>
    </row>
    <row r="12328" spans="1:2" x14ac:dyDescent="0.3">
      <c r="A12328" s="9" t="str">
        <f>HYPERLINK("http://www.eatonpowersource.com/products/configure/pumps/details/3333-025","3333-025")</f>
        <v>3333-025</v>
      </c>
      <c r="B12328" s="10" t="s">
        <v>11907</v>
      </c>
    </row>
    <row r="12329" spans="1:2" x14ac:dyDescent="0.3">
      <c r="A12329" s="7" t="str">
        <f>HYPERLINK("http://www.eatonpowersource.com/products/configure/pumps/details/3333-054","3333-054")</f>
        <v>3333-054</v>
      </c>
      <c r="B12329" s="8" t="s">
        <v>11908</v>
      </c>
    </row>
    <row r="12330" spans="1:2" x14ac:dyDescent="0.3">
      <c r="A12330" s="9" t="str">
        <f>HYPERLINK("http://www.eatonpowersource.com/products/configure/pumps/details/3333-059","3333-059")</f>
        <v>3333-059</v>
      </c>
      <c r="B12330" s="10" t="s">
        <v>11909</v>
      </c>
    </row>
    <row r="12331" spans="1:2" x14ac:dyDescent="0.3">
      <c r="A12331" s="7" t="str">
        <f>HYPERLINK("http://www.eatonpowersource.com/products/configure/pumps/details/3333-092","3333-092")</f>
        <v>3333-092</v>
      </c>
      <c r="B12331" s="8" t="s">
        <v>11910</v>
      </c>
    </row>
    <row r="12332" spans="1:2" x14ac:dyDescent="0.3">
      <c r="A12332" s="9" t="str">
        <f>HYPERLINK("http://www.eatonpowersource.com/products/configure/pumps/details/3333-103","3333-103")</f>
        <v>3333-103</v>
      </c>
      <c r="B12332" s="10" t="s">
        <v>11911</v>
      </c>
    </row>
    <row r="12333" spans="1:2" x14ac:dyDescent="0.3">
      <c r="A12333" s="7" t="str">
        <f>HYPERLINK("http://www.eatonpowersource.com/products/configure/pumps/details/3333-106","3333-106")</f>
        <v>3333-106</v>
      </c>
      <c r="B12333" s="8" t="s">
        <v>11912</v>
      </c>
    </row>
    <row r="12334" spans="1:2" x14ac:dyDescent="0.3">
      <c r="A12334" s="9" t="str">
        <f>HYPERLINK("http://www.eatonpowersource.com/products/configure/pumps/details/3922-017","3922-017")</f>
        <v>3922-017</v>
      </c>
      <c r="B12334" s="10" t="s">
        <v>11913</v>
      </c>
    </row>
    <row r="12335" spans="1:2" x14ac:dyDescent="0.3">
      <c r="A12335" s="7" t="str">
        <f>HYPERLINK("http://www.eatonpowersource.com/products/configure/pumps/details/3922-092","3922-092")</f>
        <v>3922-092</v>
      </c>
      <c r="B12335" s="8" t="s">
        <v>11914</v>
      </c>
    </row>
    <row r="12336" spans="1:2" x14ac:dyDescent="0.3">
      <c r="A12336" s="9" t="str">
        <f>HYPERLINK("http://www.eatonpowersource.com/products/configure/pumps/details/3922-105","3922-105")</f>
        <v>3922-105</v>
      </c>
      <c r="B12336" s="10" t="s">
        <v>11915</v>
      </c>
    </row>
    <row r="12337" spans="1:2" x14ac:dyDescent="0.3">
      <c r="A12337" s="7" t="str">
        <f>HYPERLINK("http://www.eatonpowersource.com/products/configure/pumps/details/3922-106","3922-106")</f>
        <v>3922-106</v>
      </c>
      <c r="B12337" s="8" t="s">
        <v>11916</v>
      </c>
    </row>
    <row r="12338" spans="1:2" x14ac:dyDescent="0.3">
      <c r="A12338" s="9" t="str">
        <f>HYPERLINK("http://www.eatonpowersource.com/products/configure/pumps/details/3922-109","3922-109")</f>
        <v>3922-109</v>
      </c>
      <c r="B12338" s="10" t="s">
        <v>11917</v>
      </c>
    </row>
    <row r="12339" spans="1:2" x14ac:dyDescent="0.3">
      <c r="A12339" s="7" t="str">
        <f>HYPERLINK("http://www.eatonpowersource.com/products/configure/pumps/details/3922-110","3922-110")</f>
        <v>3922-110</v>
      </c>
      <c r="B12339" s="8" t="s">
        <v>11918</v>
      </c>
    </row>
    <row r="12340" spans="1:2" x14ac:dyDescent="0.3">
      <c r="A12340" s="9" t="str">
        <f>HYPERLINK("http://www.eatonpowersource.com/products/configure/pumps/details/3922-117","3922-117")</f>
        <v>3922-117</v>
      </c>
      <c r="B12340" s="10" t="s">
        <v>11919</v>
      </c>
    </row>
    <row r="12341" spans="1:2" x14ac:dyDescent="0.3">
      <c r="A12341" s="7" t="str">
        <f>HYPERLINK("http://www.eatonpowersource.com/products/configure/pumps/details/3923-000","3923-000")</f>
        <v>3923-000</v>
      </c>
      <c r="B12341" s="8" t="s">
        <v>11920</v>
      </c>
    </row>
    <row r="12342" spans="1:2" x14ac:dyDescent="0.3">
      <c r="A12342" s="9" t="str">
        <f>HYPERLINK("http://www.eatonpowersource.com/products/configure/pumps/details/3923-002","3923-002")</f>
        <v>3923-002</v>
      </c>
      <c r="B12342" s="10" t="s">
        <v>11921</v>
      </c>
    </row>
    <row r="12343" spans="1:2" x14ac:dyDescent="0.3">
      <c r="A12343" s="7" t="str">
        <f>HYPERLINK("http://www.eatonpowersource.com/products/configure/pumps/details/3923-014","3923-014")</f>
        <v>3923-014</v>
      </c>
      <c r="B12343" s="8" t="s">
        <v>11922</v>
      </c>
    </row>
    <row r="12344" spans="1:2" x14ac:dyDescent="0.3">
      <c r="A12344" s="9" t="str">
        <f>HYPERLINK("http://www.eatonpowersource.com/products/configure/pumps/details/3923-020","3923-020")</f>
        <v>3923-020</v>
      </c>
      <c r="B12344" s="10" t="s">
        <v>11923</v>
      </c>
    </row>
    <row r="12345" spans="1:2" x14ac:dyDescent="0.3">
      <c r="A12345" s="7" t="str">
        <f>HYPERLINK("http://www.eatonpowersource.com/products/configure/pumps/details/3923-084","3923-084")</f>
        <v>3923-084</v>
      </c>
      <c r="B12345" s="8" t="s">
        <v>11924</v>
      </c>
    </row>
    <row r="12346" spans="1:2" x14ac:dyDescent="0.3">
      <c r="A12346" s="9" t="str">
        <f>HYPERLINK("http://www.eatonpowersource.com/products/configure/pumps/details/3923-151","3923-151")</f>
        <v>3923-151</v>
      </c>
      <c r="B12346" s="10" t="s">
        <v>11925</v>
      </c>
    </row>
    <row r="12347" spans="1:2" x14ac:dyDescent="0.3">
      <c r="A12347" s="7" t="str">
        <f>HYPERLINK("http://www.eatonpowersource.com/products/configure/pumps/details/3923-152","3923-152")</f>
        <v>3923-152</v>
      </c>
      <c r="B12347" s="8" t="s">
        <v>11926</v>
      </c>
    </row>
    <row r="12348" spans="1:2" x14ac:dyDescent="0.3">
      <c r="A12348" s="9" t="str">
        <f>HYPERLINK("http://www.eatonpowersource.com/products/configure/pumps/details/3923-168","3923-168")</f>
        <v>3923-168</v>
      </c>
      <c r="B12348" s="10" t="s">
        <v>11927</v>
      </c>
    </row>
    <row r="12349" spans="1:2" x14ac:dyDescent="0.3">
      <c r="A12349" s="7" t="str">
        <f>HYPERLINK("http://www.eatonpowersource.com/products/configure/pumps/details/3923-210","3923-210")</f>
        <v>3923-210</v>
      </c>
      <c r="B12349" s="8" t="s">
        <v>11928</v>
      </c>
    </row>
    <row r="12350" spans="1:2" x14ac:dyDescent="0.3">
      <c r="A12350" s="9" t="str">
        <f>HYPERLINK("http://www.eatonpowersource.com/products/configure/pumps/details/3923-288","3923-288")</f>
        <v>3923-288</v>
      </c>
      <c r="B12350" s="10" t="s">
        <v>11929</v>
      </c>
    </row>
    <row r="12351" spans="1:2" x14ac:dyDescent="0.3">
      <c r="A12351" s="7" t="str">
        <f>HYPERLINK("http://www.eatonpowersource.com/products/configure/pumps/details/3923-344","3923-344")</f>
        <v>3923-344</v>
      </c>
      <c r="B12351" s="8" t="s">
        <v>11930</v>
      </c>
    </row>
    <row r="12352" spans="1:2" x14ac:dyDescent="0.3">
      <c r="A12352" s="9" t="str">
        <f>HYPERLINK("http://www.eatonpowersource.com/products/configure/pumps/details/3933-002","3933-002")</f>
        <v>3933-002</v>
      </c>
      <c r="B12352" s="10" t="s">
        <v>11931</v>
      </c>
    </row>
    <row r="12353" spans="1:2" x14ac:dyDescent="0.3">
      <c r="A12353" s="7" t="str">
        <f>HYPERLINK("http://www.eatonpowersource.com/products/configure/pumps/details/3933-003","3933-003")</f>
        <v>3933-003</v>
      </c>
      <c r="B12353" s="8" t="s">
        <v>11932</v>
      </c>
    </row>
    <row r="12354" spans="1:2" x14ac:dyDescent="0.3">
      <c r="A12354" s="9" t="str">
        <f>HYPERLINK("http://www.eatonpowersource.com/products/configure/pumps/details/3933-020","3933-020")</f>
        <v>3933-020</v>
      </c>
      <c r="B12354" s="10" t="s">
        <v>11933</v>
      </c>
    </row>
    <row r="12355" spans="1:2" x14ac:dyDescent="0.3">
      <c r="A12355" s="7" t="str">
        <f>HYPERLINK("http://www.eatonpowersource.com/products/configure/pumps/details/4622-167","4622-167")</f>
        <v>4622-167</v>
      </c>
      <c r="B12355" s="8" t="s">
        <v>11934</v>
      </c>
    </row>
    <row r="12356" spans="1:2" x14ac:dyDescent="0.3">
      <c r="A12356" s="9" t="str">
        <f>HYPERLINK("http://www.eatonpowersource.com/products/configure/pumps/details/4622-207","4622-207")</f>
        <v>4622-207</v>
      </c>
      <c r="B12356" s="10" t="s">
        <v>11935</v>
      </c>
    </row>
    <row r="12357" spans="1:2" x14ac:dyDescent="0.3">
      <c r="A12357" s="7" t="str">
        <f>HYPERLINK("http://www.eatonpowersource.com/products/configure/pumps/details/4622-208","4622-208")</f>
        <v>4622-208</v>
      </c>
      <c r="B12357" s="8" t="s">
        <v>11936</v>
      </c>
    </row>
    <row r="12358" spans="1:2" x14ac:dyDescent="0.3">
      <c r="A12358" s="9" t="str">
        <f>HYPERLINK("http://www.eatonpowersource.com/products/configure/pumps/details/4623-001","4623-001")</f>
        <v>4623-001</v>
      </c>
      <c r="B12358" s="10" t="s">
        <v>11937</v>
      </c>
    </row>
    <row r="12359" spans="1:2" x14ac:dyDescent="0.3">
      <c r="A12359" s="7" t="str">
        <f>HYPERLINK("http://www.eatonpowersource.com/products/configure/pumps/details/4623-070","4623-070")</f>
        <v>4623-070</v>
      </c>
      <c r="B12359" s="8" t="s">
        <v>11938</v>
      </c>
    </row>
    <row r="12360" spans="1:2" x14ac:dyDescent="0.3">
      <c r="A12360" s="9" t="str">
        <f>HYPERLINK("http://www.eatonpowersource.com/products/configure/pumps/details/4623-082","4623-082")</f>
        <v>4623-082</v>
      </c>
      <c r="B12360" s="10" t="s">
        <v>11939</v>
      </c>
    </row>
    <row r="12361" spans="1:2" x14ac:dyDescent="0.3">
      <c r="A12361" s="7" t="str">
        <f>HYPERLINK("http://www.eatonpowersource.com/products/configure/pumps/details/4623-177","4623-177")</f>
        <v>4623-177</v>
      </c>
      <c r="B12361" s="8" t="s">
        <v>11940</v>
      </c>
    </row>
    <row r="12362" spans="1:2" x14ac:dyDescent="0.3">
      <c r="A12362" s="9" t="str">
        <f>HYPERLINK("http://www.eatonpowersource.com/products/configure/pumps/details/4623-273","4623-273")</f>
        <v>4623-273</v>
      </c>
      <c r="B12362" s="10" t="s">
        <v>11941</v>
      </c>
    </row>
    <row r="12363" spans="1:2" x14ac:dyDescent="0.3">
      <c r="A12363" s="7" t="str">
        <f>HYPERLINK("http://www.eatonpowersource.com/products/configure/pumps/details/4623-274","4623-274")</f>
        <v>4623-274</v>
      </c>
      <c r="B12363" s="8" t="s">
        <v>11942</v>
      </c>
    </row>
    <row r="12364" spans="1:2" x14ac:dyDescent="0.3">
      <c r="A12364" s="9" t="str">
        <f>HYPERLINK("http://www.eatonpowersource.com/products/configure/pumps/details/4623-372","4623-372")</f>
        <v>4623-372</v>
      </c>
      <c r="B12364" s="10" t="s">
        <v>11943</v>
      </c>
    </row>
    <row r="12365" spans="1:2" x14ac:dyDescent="0.3">
      <c r="A12365" s="7" t="str">
        <f>HYPERLINK("http://www.eatonpowersource.com/products/configure/pumps/details/4623-389","4623-389")</f>
        <v>4623-389</v>
      </c>
      <c r="B12365" s="8" t="s">
        <v>11944</v>
      </c>
    </row>
    <row r="12366" spans="1:2" x14ac:dyDescent="0.3">
      <c r="A12366" s="9" t="str">
        <f>HYPERLINK("http://www.eatonpowersource.com/products/configure/pumps/details/4623-406","4623-406")</f>
        <v>4623-406</v>
      </c>
      <c r="B12366" s="10" t="s">
        <v>11945</v>
      </c>
    </row>
    <row r="12367" spans="1:2" x14ac:dyDescent="0.3">
      <c r="A12367" s="7" t="str">
        <f>HYPERLINK("http://www.eatonpowersource.com/products/configure/pumps/details/4623-472","4623-472")</f>
        <v>4623-472</v>
      </c>
      <c r="B12367" s="8" t="s">
        <v>11946</v>
      </c>
    </row>
    <row r="12368" spans="1:2" x14ac:dyDescent="0.3">
      <c r="A12368" s="9" t="str">
        <f>HYPERLINK("http://www.eatonpowersource.com/products/configure/pumps/details/4623-483","4623-483")</f>
        <v>4623-483</v>
      </c>
      <c r="B12368" s="10" t="s">
        <v>11947</v>
      </c>
    </row>
    <row r="12369" spans="1:2" x14ac:dyDescent="0.3">
      <c r="A12369" s="7" t="str">
        <f>HYPERLINK("http://www.eatonpowersource.com/products/configure/pumps/details/4623-501","4623-501")</f>
        <v>4623-501</v>
      </c>
      <c r="B12369" s="8" t="s">
        <v>11948</v>
      </c>
    </row>
    <row r="12370" spans="1:2" x14ac:dyDescent="0.3">
      <c r="A12370" s="9" t="str">
        <f>HYPERLINK("http://www.eatonpowersource.com/products/configure/pumps/details/4623-502","4623-502")</f>
        <v>4623-502</v>
      </c>
      <c r="B12370" s="10" t="s">
        <v>11949</v>
      </c>
    </row>
    <row r="12371" spans="1:2" x14ac:dyDescent="0.3">
      <c r="A12371" s="7" t="str">
        <f>HYPERLINK("http://www.eatonpowersource.com/products/configure/pumps/details/4623-504","4623-504")</f>
        <v>4623-504</v>
      </c>
      <c r="B12371" s="8" t="s">
        <v>11950</v>
      </c>
    </row>
    <row r="12372" spans="1:2" x14ac:dyDescent="0.3">
      <c r="A12372" s="9" t="str">
        <f>HYPERLINK("http://www.eatonpowersource.com/products/configure/pumps/details/4623-510","4623-510")</f>
        <v>4623-510</v>
      </c>
      <c r="B12372" s="10" t="s">
        <v>11951</v>
      </c>
    </row>
    <row r="12373" spans="1:2" x14ac:dyDescent="0.3">
      <c r="A12373" s="7" t="str">
        <f>HYPERLINK("http://www.eatonpowersource.com/products/configure/pumps/details/4623-522","4623-522")</f>
        <v>4623-522</v>
      </c>
      <c r="B12373" s="8" t="s">
        <v>11952</v>
      </c>
    </row>
    <row r="12374" spans="1:2" x14ac:dyDescent="0.3">
      <c r="A12374" s="9" t="str">
        <f>HYPERLINK("http://www.eatonpowersource.com/products/configure/pumps/details/4623-573","4623-573")</f>
        <v>4623-573</v>
      </c>
      <c r="B12374" s="10" t="s">
        <v>11953</v>
      </c>
    </row>
    <row r="12375" spans="1:2" x14ac:dyDescent="0.3">
      <c r="A12375" s="7" t="str">
        <f>HYPERLINK("http://www.eatonpowersource.com/products/configure/pumps/details/4623-575","4623-575")</f>
        <v>4623-575</v>
      </c>
      <c r="B12375" s="8" t="s">
        <v>11954</v>
      </c>
    </row>
    <row r="12376" spans="1:2" x14ac:dyDescent="0.3">
      <c r="A12376" s="9" t="str">
        <f>HYPERLINK("http://www.eatonpowersource.com/products/configure/pumps/details/4623-576","4623-576")</f>
        <v>4623-576</v>
      </c>
      <c r="B12376" s="10" t="s">
        <v>11955</v>
      </c>
    </row>
    <row r="12377" spans="1:2" x14ac:dyDescent="0.3">
      <c r="A12377" s="7" t="str">
        <f>HYPERLINK("http://www.eatonpowersource.com/products/configure/pumps/details/4623-586","4623-586")</f>
        <v>4623-586</v>
      </c>
      <c r="B12377" s="8" t="s">
        <v>11956</v>
      </c>
    </row>
    <row r="12378" spans="1:2" x14ac:dyDescent="0.3">
      <c r="A12378" s="9" t="str">
        <f>HYPERLINK("http://www.eatonpowersource.com/products/configure/pumps/details/4623-591","4623-591")</f>
        <v>4623-591</v>
      </c>
      <c r="B12378" s="10" t="s">
        <v>11957</v>
      </c>
    </row>
    <row r="12379" spans="1:2" x14ac:dyDescent="0.3">
      <c r="A12379" s="7" t="str">
        <f>HYPERLINK("http://www.eatonpowersource.com/products/configure/pumps/details/4623-732","4623-732")</f>
        <v>4623-732</v>
      </c>
      <c r="B12379" s="8" t="s">
        <v>11958</v>
      </c>
    </row>
    <row r="12380" spans="1:2" x14ac:dyDescent="0.3">
      <c r="A12380" s="9" t="str">
        <f>HYPERLINK("http://www.eatonpowersource.com/products/configure/pumps/details/4623-783","4623-783")</f>
        <v>4623-783</v>
      </c>
      <c r="B12380" s="10" t="s">
        <v>11959</v>
      </c>
    </row>
    <row r="12381" spans="1:2" x14ac:dyDescent="0.3">
      <c r="A12381" s="7" t="str">
        <f>HYPERLINK("http://www.eatonpowersource.com/products/configure/pumps/details/4633-001","4633-001")</f>
        <v>4633-001</v>
      </c>
      <c r="B12381" s="8" t="s">
        <v>11960</v>
      </c>
    </row>
    <row r="12382" spans="1:2" x14ac:dyDescent="0.3">
      <c r="A12382" s="9" t="str">
        <f>HYPERLINK("http://www.eatonpowersource.com/products/configure/pumps/details/4633-002","4633-002")</f>
        <v>4633-002</v>
      </c>
      <c r="B12382" s="10" t="s">
        <v>11961</v>
      </c>
    </row>
    <row r="12383" spans="1:2" x14ac:dyDescent="0.3">
      <c r="A12383" s="7" t="str">
        <f>HYPERLINK("http://www.eatonpowersource.com/products/configure/pumps/details/4633-029","4633-029")</f>
        <v>4633-029</v>
      </c>
      <c r="B12383" s="8" t="s">
        <v>11962</v>
      </c>
    </row>
    <row r="12384" spans="1:2" x14ac:dyDescent="0.3">
      <c r="A12384" s="9" t="str">
        <f>HYPERLINK("http://www.eatonpowersource.com/products/configure/pumps/details/4633-036","4633-036")</f>
        <v>4633-036</v>
      </c>
      <c r="B12384" s="10" t="s">
        <v>11963</v>
      </c>
    </row>
    <row r="12385" spans="1:2" x14ac:dyDescent="0.3">
      <c r="A12385" s="7" t="str">
        <f>HYPERLINK("http://www.eatonpowersource.com/products/configure/pumps/details/4633-049","4633-049")</f>
        <v>4633-049</v>
      </c>
      <c r="B12385" s="8" t="s">
        <v>11964</v>
      </c>
    </row>
    <row r="12386" spans="1:2" x14ac:dyDescent="0.3">
      <c r="A12386" s="9" t="str">
        <f>HYPERLINK("http://www.eatonpowersource.com/products/configure/pumps/details/4633-089","4633-089")</f>
        <v>4633-089</v>
      </c>
      <c r="B12386" s="10" t="s">
        <v>11965</v>
      </c>
    </row>
    <row r="12387" spans="1:2" x14ac:dyDescent="0.3">
      <c r="A12387" s="7" t="str">
        <f>HYPERLINK("http://www.eatonpowersource.com/products/configure/pumps/details/4633-102","4633-102")</f>
        <v>4633-102</v>
      </c>
      <c r="B12387" s="8" t="s">
        <v>11966</v>
      </c>
    </row>
    <row r="12388" spans="1:2" x14ac:dyDescent="0.3">
      <c r="A12388" s="9" t="str">
        <f>HYPERLINK("http://www.eatonpowersource.com/products/configure/pumps/details/4633-164","4633-164")</f>
        <v>4633-164</v>
      </c>
      <c r="B12388" s="10" t="s">
        <v>11967</v>
      </c>
    </row>
    <row r="12389" spans="1:2" x14ac:dyDescent="0.3">
      <c r="A12389" s="7" t="str">
        <f>HYPERLINK("http://www.eatonpowersource.com/products/configure/pumps/details/4633-244","4633-244")</f>
        <v>4633-244</v>
      </c>
      <c r="B12389" s="8" t="s">
        <v>11968</v>
      </c>
    </row>
    <row r="12390" spans="1:2" x14ac:dyDescent="0.3">
      <c r="A12390" s="9" t="str">
        <f>HYPERLINK("http://www.eatonpowersource.com/products/configure/pumps/details/4641-010","4641-010")</f>
        <v>4641-010</v>
      </c>
      <c r="B12390" s="10" t="s">
        <v>11969</v>
      </c>
    </row>
    <row r="12391" spans="1:2" x14ac:dyDescent="0.3">
      <c r="A12391" s="7" t="str">
        <f>HYPERLINK("http://www.eatonpowersource.com/products/configure/pumps/details/5422-012","5422-012")</f>
        <v>5422-012</v>
      </c>
      <c r="B12391" s="8" t="s">
        <v>11970</v>
      </c>
    </row>
    <row r="12392" spans="1:2" x14ac:dyDescent="0.3">
      <c r="A12392" s="9" t="str">
        <f>HYPERLINK("http://www.eatonpowersource.com/products/configure/pumps/details/5422-047","5422-047")</f>
        <v>5422-047</v>
      </c>
      <c r="B12392" s="10" t="s">
        <v>11971</v>
      </c>
    </row>
    <row r="12393" spans="1:2" x14ac:dyDescent="0.3">
      <c r="A12393" s="7" t="str">
        <f>HYPERLINK("http://www.eatonpowersource.com/products/configure/pumps/details/5422-092","5422-092")</f>
        <v>5422-092</v>
      </c>
      <c r="B12393" s="8" t="s">
        <v>11972</v>
      </c>
    </row>
    <row r="12394" spans="1:2" x14ac:dyDescent="0.3">
      <c r="A12394" s="9" t="str">
        <f>HYPERLINK("http://www.eatonpowersource.com/products/configure/pumps/details/5422-110","5422-110")</f>
        <v>5422-110</v>
      </c>
      <c r="B12394" s="10" t="s">
        <v>11973</v>
      </c>
    </row>
    <row r="12395" spans="1:2" x14ac:dyDescent="0.3">
      <c r="A12395" s="7" t="str">
        <f>HYPERLINK("http://www.eatonpowersource.com/products/configure/pumps/details/5422-137","5422-137")</f>
        <v>5422-137</v>
      </c>
      <c r="B12395" s="8" t="s">
        <v>11974</v>
      </c>
    </row>
    <row r="12396" spans="1:2" x14ac:dyDescent="0.3">
      <c r="A12396" s="9" t="str">
        <f>HYPERLINK("http://www.eatonpowersource.com/products/configure/pumps/details/5423-016","5423-016")</f>
        <v>5423-016</v>
      </c>
      <c r="B12396" s="10" t="s">
        <v>11975</v>
      </c>
    </row>
    <row r="12397" spans="1:2" x14ac:dyDescent="0.3">
      <c r="A12397" s="7" t="str">
        <f>HYPERLINK("http://www.eatonpowersource.com/products/configure/pumps/details/5423-244","5423-244")</f>
        <v>5423-244</v>
      </c>
      <c r="B12397" s="8" t="s">
        <v>11976</v>
      </c>
    </row>
    <row r="12398" spans="1:2" x14ac:dyDescent="0.3">
      <c r="A12398" s="9" t="str">
        <f>HYPERLINK("http://www.eatonpowersource.com/products/configure/pumps/details/5423-272","5423-272")</f>
        <v>5423-272</v>
      </c>
      <c r="B12398" s="10" t="s">
        <v>11977</v>
      </c>
    </row>
    <row r="12399" spans="1:2" x14ac:dyDescent="0.3">
      <c r="A12399" s="7" t="str">
        <f>HYPERLINK("http://www.eatonpowersource.com/products/configure/pumps/details/5423-455","5423-455")</f>
        <v>5423-455</v>
      </c>
      <c r="B12399" s="8" t="s">
        <v>11978</v>
      </c>
    </row>
    <row r="12400" spans="1:2" x14ac:dyDescent="0.3">
      <c r="A12400" s="9" t="str">
        <f>HYPERLINK("http://www.eatonpowersource.com/products/configure/pumps/details/5423-456","5423-456")</f>
        <v>5423-456</v>
      </c>
      <c r="B12400" s="10" t="s">
        <v>11979</v>
      </c>
    </row>
    <row r="12401" spans="1:2" x14ac:dyDescent="0.3">
      <c r="A12401" s="7" t="str">
        <f>HYPERLINK("http://www.eatonpowersource.com/products/configure/pumps/details/5423-506","5423-506")</f>
        <v>5423-506</v>
      </c>
      <c r="B12401" s="8" t="s">
        <v>11980</v>
      </c>
    </row>
    <row r="12402" spans="1:2" x14ac:dyDescent="0.3">
      <c r="A12402" s="9" t="str">
        <f>HYPERLINK("http://www.eatonpowersource.com/products/configure/pumps/details/5423-518","5423-518")</f>
        <v>5423-518</v>
      </c>
      <c r="B12402" s="10" t="s">
        <v>11981</v>
      </c>
    </row>
    <row r="12403" spans="1:2" x14ac:dyDescent="0.3">
      <c r="A12403" s="7" t="str">
        <f>HYPERLINK("http://www.eatonpowersource.com/products/configure/pumps/details/5423-583","5423-583")</f>
        <v>5423-583</v>
      </c>
      <c r="B12403" s="8" t="s">
        <v>11982</v>
      </c>
    </row>
    <row r="12404" spans="1:2" x14ac:dyDescent="0.3">
      <c r="A12404" s="9" t="str">
        <f>HYPERLINK("http://www.eatonpowersource.com/products/configure/pumps/details/5423-635","5423-635")</f>
        <v>5423-635</v>
      </c>
      <c r="B12404" s="10" t="s">
        <v>11983</v>
      </c>
    </row>
    <row r="12405" spans="1:2" x14ac:dyDescent="0.3">
      <c r="A12405" s="7" t="str">
        <f>HYPERLINK("http://www.eatonpowersource.com/products/configure/pumps/details/5423-636","5423-636")</f>
        <v>5423-636</v>
      </c>
      <c r="B12405" s="8" t="s">
        <v>11984</v>
      </c>
    </row>
    <row r="12406" spans="1:2" x14ac:dyDescent="0.3">
      <c r="A12406" s="9" t="str">
        <f>HYPERLINK("http://www.eatonpowersource.com/products/configure/pumps/details/5423-665","5423-665")</f>
        <v>5423-665</v>
      </c>
      <c r="B12406" s="10" t="s">
        <v>11985</v>
      </c>
    </row>
    <row r="12407" spans="1:2" x14ac:dyDescent="0.3">
      <c r="A12407" s="7" t="str">
        <f>HYPERLINK("http://www.eatonpowersource.com/products/configure/pumps/details/5423-694","5423-694")</f>
        <v>5423-694</v>
      </c>
      <c r="B12407" s="8" t="s">
        <v>11986</v>
      </c>
    </row>
    <row r="12408" spans="1:2" x14ac:dyDescent="0.3">
      <c r="A12408" s="9" t="str">
        <f>HYPERLINK("http://www.eatonpowersource.com/products/configure/pumps/details/5423-700","5423-700")</f>
        <v>5423-700</v>
      </c>
      <c r="B12408" s="10" t="s">
        <v>11987</v>
      </c>
    </row>
    <row r="12409" spans="1:2" x14ac:dyDescent="0.3">
      <c r="A12409" s="7" t="str">
        <f>HYPERLINK("http://www.eatonpowersource.com/products/configure/pumps/details/5423-757","5423-757")</f>
        <v>5423-757</v>
      </c>
      <c r="B12409" s="8" t="s">
        <v>11988</v>
      </c>
    </row>
    <row r="12410" spans="1:2" x14ac:dyDescent="0.3">
      <c r="A12410" s="9" t="str">
        <f>HYPERLINK("http://www.eatonpowersource.com/products/configure/pumps/details/5423-758","5423-758")</f>
        <v>5423-758</v>
      </c>
      <c r="B12410" s="10" t="s">
        <v>11989</v>
      </c>
    </row>
    <row r="12411" spans="1:2" x14ac:dyDescent="0.3">
      <c r="A12411" s="7" t="str">
        <f>HYPERLINK("http://www.eatonpowersource.com/products/configure/pumps/details/5423-766","5423-766")</f>
        <v>5423-766</v>
      </c>
      <c r="B12411" s="8" t="s">
        <v>11990</v>
      </c>
    </row>
    <row r="12412" spans="1:2" x14ac:dyDescent="0.3">
      <c r="A12412" s="9" t="str">
        <f>HYPERLINK("http://www.eatonpowersource.com/products/configure/pumps/details/5423-886","5423-886")</f>
        <v>5423-886</v>
      </c>
      <c r="B12412" s="10" t="s">
        <v>11991</v>
      </c>
    </row>
    <row r="12413" spans="1:2" x14ac:dyDescent="0.3">
      <c r="A12413" s="7" t="str">
        <f>HYPERLINK("http://www.eatonpowersource.com/products/configure/pumps/details/5423-892","5423-892")</f>
        <v>5423-892</v>
      </c>
      <c r="B12413" s="8" t="s">
        <v>11992</v>
      </c>
    </row>
    <row r="12414" spans="1:2" x14ac:dyDescent="0.3">
      <c r="A12414" s="9" t="str">
        <f>HYPERLINK("http://www.eatonpowersource.com/products/configure/pumps/details/5423-893","5423-893")</f>
        <v>5423-893</v>
      </c>
      <c r="B12414" s="10" t="s">
        <v>11993</v>
      </c>
    </row>
    <row r="12415" spans="1:2" x14ac:dyDescent="0.3">
      <c r="A12415" s="7" t="str">
        <f>HYPERLINK("http://www.eatonpowersource.com/products/configure/pumps/details/5423-aac","5423-AAC")</f>
        <v>5423-AAC</v>
      </c>
      <c r="B12415" s="8" t="s">
        <v>11994</v>
      </c>
    </row>
    <row r="12416" spans="1:2" x14ac:dyDescent="0.3">
      <c r="A12416" s="9" t="str">
        <f>HYPERLINK("http://www.eatonpowersource.com/products/configure/pumps/details/5423-abr","5423-ABR")</f>
        <v>5423-ABR</v>
      </c>
      <c r="B12416" s="10" t="s">
        <v>11995</v>
      </c>
    </row>
    <row r="12417" spans="1:2" x14ac:dyDescent="0.3">
      <c r="A12417" s="7" t="str">
        <f>HYPERLINK("http://www.eatonpowersource.com/products/configure/pumps/details/5423-adi","5423-ADI")</f>
        <v>5423-ADI</v>
      </c>
      <c r="B12417" s="8" t="s">
        <v>11996</v>
      </c>
    </row>
    <row r="12418" spans="1:2" x14ac:dyDescent="0.3">
      <c r="A12418" s="9" t="str">
        <f>HYPERLINK("http://www.eatonpowersource.com/products/configure/pumps/details/5433-005","5433-005")</f>
        <v>5433-005</v>
      </c>
      <c r="B12418" s="10" t="s">
        <v>11997</v>
      </c>
    </row>
    <row r="12419" spans="1:2" x14ac:dyDescent="0.3">
      <c r="A12419" s="7" t="str">
        <f>HYPERLINK("http://www.eatonpowersource.com/products/configure/pumps/details/5433-008","5433-008")</f>
        <v>5433-008</v>
      </c>
      <c r="B12419" s="8" t="s">
        <v>11998</v>
      </c>
    </row>
    <row r="12420" spans="1:2" x14ac:dyDescent="0.3">
      <c r="A12420" s="9" t="str">
        <f>HYPERLINK("http://www.eatonpowersource.com/products/configure/pumps/details/5433-024","5433-024")</f>
        <v>5433-024</v>
      </c>
      <c r="B12420" s="10" t="s">
        <v>11999</v>
      </c>
    </row>
    <row r="12421" spans="1:2" x14ac:dyDescent="0.3">
      <c r="A12421" s="7" t="str">
        <f>HYPERLINK("http://www.eatonpowersource.com/products/configure/pumps/details/5433-080","5433-080")</f>
        <v>5433-080</v>
      </c>
      <c r="B12421" s="8" t="s">
        <v>12000</v>
      </c>
    </row>
    <row r="12422" spans="1:2" x14ac:dyDescent="0.3">
      <c r="A12422" s="9" t="str">
        <f>HYPERLINK("http://www.eatonpowersource.com/products/configure/pumps/details/5433-101","5433-101")</f>
        <v>5433-101</v>
      </c>
      <c r="B12422" s="10" t="s">
        <v>12001</v>
      </c>
    </row>
    <row r="12423" spans="1:2" x14ac:dyDescent="0.3">
      <c r="A12423" s="7" t="str">
        <f>HYPERLINK("http://www.eatonpowersource.com/products/configure/pumps/details/5433-138","5433-138")</f>
        <v>5433-138</v>
      </c>
      <c r="B12423" s="8" t="s">
        <v>12002</v>
      </c>
    </row>
    <row r="12424" spans="1:2" x14ac:dyDescent="0.3">
      <c r="A12424" s="9" t="str">
        <f>HYPERLINK("http://www.eatonpowersource.com/products/configure/pumps/details/5433-153","5433-153")</f>
        <v>5433-153</v>
      </c>
      <c r="B12424" s="10" t="s">
        <v>12003</v>
      </c>
    </row>
    <row r="12425" spans="1:2" x14ac:dyDescent="0.3">
      <c r="A12425" s="7" t="str">
        <f>HYPERLINK("http://www.eatonpowersource.com/products/configure/pumps/details/5433-193","5433-193")</f>
        <v>5433-193</v>
      </c>
      <c r="B12425" s="8" t="s">
        <v>12004</v>
      </c>
    </row>
    <row r="12426" spans="1:2" x14ac:dyDescent="0.3">
      <c r="A12426" s="9" t="str">
        <f>HYPERLINK("http://www.eatonpowersource.com/products/configure/pumps/details/6422-047","6422-047")</f>
        <v>6422-047</v>
      </c>
      <c r="B12426" s="10" t="s">
        <v>12005</v>
      </c>
    </row>
    <row r="12427" spans="1:2" x14ac:dyDescent="0.3">
      <c r="A12427" s="7" t="str">
        <f>HYPERLINK("http://www.eatonpowersource.com/products/configure/pumps/details/6422-108","6422-108")</f>
        <v>6422-108</v>
      </c>
      <c r="B12427" s="8" t="s">
        <v>12006</v>
      </c>
    </row>
    <row r="12428" spans="1:2" x14ac:dyDescent="0.3">
      <c r="A12428" s="9" t="str">
        <f>HYPERLINK("http://www.eatonpowersource.com/products/configure/pumps/details/6422-118","6422-118")</f>
        <v>6422-118</v>
      </c>
      <c r="B12428" s="10" t="s">
        <v>12007</v>
      </c>
    </row>
    <row r="12429" spans="1:2" x14ac:dyDescent="0.3">
      <c r="A12429" s="7" t="str">
        <f>HYPERLINK("http://www.eatonpowersource.com/products/configure/pumps/details/6422-146","6422-146")</f>
        <v>6422-146</v>
      </c>
      <c r="B12429" s="8" t="s">
        <v>12008</v>
      </c>
    </row>
    <row r="12430" spans="1:2" x14ac:dyDescent="0.3">
      <c r="A12430" s="9" t="str">
        <f>HYPERLINK("http://www.eatonpowersource.com/products/configure/pumps/details/6422-150","6422-150")</f>
        <v>6422-150</v>
      </c>
      <c r="B12430" s="10" t="s">
        <v>12009</v>
      </c>
    </row>
    <row r="12431" spans="1:2" x14ac:dyDescent="0.3">
      <c r="A12431" s="7" t="str">
        <f>HYPERLINK("http://www.eatonpowersource.com/products/configure/pumps/details/6422-172","6422-172")</f>
        <v>6422-172</v>
      </c>
      <c r="B12431" s="8" t="s">
        <v>12010</v>
      </c>
    </row>
    <row r="12432" spans="1:2" x14ac:dyDescent="0.3">
      <c r="A12432" s="9" t="str">
        <f>HYPERLINK("http://www.eatonpowersource.com/products/configure/pumps/details/6422-177","6422-177")</f>
        <v>6422-177</v>
      </c>
      <c r="B12432" s="10" t="s">
        <v>12011</v>
      </c>
    </row>
    <row r="12433" spans="1:2" x14ac:dyDescent="0.3">
      <c r="A12433" s="7" t="str">
        <f>HYPERLINK("http://www.eatonpowersource.com/products/configure/pumps/details/6422-222","6422-222")</f>
        <v>6422-222</v>
      </c>
      <c r="B12433" s="8" t="s">
        <v>12012</v>
      </c>
    </row>
    <row r="12434" spans="1:2" x14ac:dyDescent="0.3">
      <c r="A12434" s="9" t="str">
        <f>HYPERLINK("http://www.eatonpowersource.com/products/configure/pumps/details/6422-225","6422-225")</f>
        <v>6422-225</v>
      </c>
      <c r="B12434" s="10" t="s">
        <v>12013</v>
      </c>
    </row>
    <row r="12435" spans="1:2" x14ac:dyDescent="0.3">
      <c r="A12435" s="7" t="str">
        <f>HYPERLINK("http://www.eatonpowersource.com/products/configure/pumps/details/6422-226","6422-226")</f>
        <v>6422-226</v>
      </c>
      <c r="B12435" s="8" t="s">
        <v>12014</v>
      </c>
    </row>
    <row r="12436" spans="1:2" x14ac:dyDescent="0.3">
      <c r="A12436" s="9" t="str">
        <f>HYPERLINK("http://www.eatonpowersource.com/products/configure/pumps/details/6422-253","6422-253")</f>
        <v>6422-253</v>
      </c>
      <c r="B12436" s="10" t="s">
        <v>12015</v>
      </c>
    </row>
    <row r="12437" spans="1:2" x14ac:dyDescent="0.3">
      <c r="A12437" s="7" t="str">
        <f>HYPERLINK("http://www.eatonpowersource.com/products/configure/pumps/details/6422-269","6422-269")</f>
        <v>6422-269</v>
      </c>
      <c r="B12437" s="8" t="s">
        <v>12016</v>
      </c>
    </row>
    <row r="12438" spans="1:2" x14ac:dyDescent="0.3">
      <c r="A12438" s="9" t="str">
        <f>HYPERLINK("http://www.eatonpowersource.com/products/configure/pumps/details/6422-271","6422-271")</f>
        <v>6422-271</v>
      </c>
      <c r="B12438" s="10" t="s">
        <v>12017</v>
      </c>
    </row>
    <row r="12439" spans="1:2" x14ac:dyDescent="0.3">
      <c r="A12439" s="7" t="str">
        <f>HYPERLINK("http://www.eatonpowersource.com/products/configure/pumps/details/6422-286","6422-286")</f>
        <v>6422-286</v>
      </c>
      <c r="B12439" s="8" t="s">
        <v>12018</v>
      </c>
    </row>
    <row r="12440" spans="1:2" x14ac:dyDescent="0.3">
      <c r="A12440" s="9" t="str">
        <f>HYPERLINK("http://www.eatonpowersource.com/products/configure/pumps/details/6422-303","6422-303")</f>
        <v>6422-303</v>
      </c>
      <c r="B12440" s="10" t="s">
        <v>12019</v>
      </c>
    </row>
    <row r="12441" spans="1:2" x14ac:dyDescent="0.3">
      <c r="A12441" s="7" t="str">
        <f>HYPERLINK("http://www.eatonpowersource.com/products/configure/pumps/details/6423-049","6423-049")</f>
        <v>6423-049</v>
      </c>
      <c r="B12441" s="8" t="s">
        <v>12020</v>
      </c>
    </row>
    <row r="12442" spans="1:2" x14ac:dyDescent="0.3">
      <c r="A12442" s="9" t="str">
        <f>HYPERLINK("http://www.eatonpowersource.com/products/configure/pumps/details/6423-081","6423-081")</f>
        <v>6423-081</v>
      </c>
      <c r="B12442" s="10" t="s">
        <v>12021</v>
      </c>
    </row>
    <row r="12443" spans="1:2" x14ac:dyDescent="0.3">
      <c r="A12443" s="7" t="str">
        <f>HYPERLINK("http://www.eatonpowersource.com/products/configure/pumps/details/6423-106","6423-106")</f>
        <v>6423-106</v>
      </c>
      <c r="B12443" s="8" t="s">
        <v>12022</v>
      </c>
    </row>
    <row r="12444" spans="1:2" x14ac:dyDescent="0.3">
      <c r="A12444" s="9" t="str">
        <f>HYPERLINK("http://www.eatonpowersource.com/products/configure/pumps/details/6423-115","6423-115")</f>
        <v>6423-115</v>
      </c>
      <c r="B12444" s="10" t="s">
        <v>12023</v>
      </c>
    </row>
    <row r="12445" spans="1:2" x14ac:dyDescent="0.3">
      <c r="A12445" s="7" t="str">
        <f>HYPERLINK("http://www.eatonpowersource.com/products/configure/pumps/details/6423-228","6423-228")</f>
        <v>6423-228</v>
      </c>
      <c r="B12445" s="8" t="s">
        <v>12024</v>
      </c>
    </row>
    <row r="12446" spans="1:2" x14ac:dyDescent="0.3">
      <c r="A12446" s="9" t="str">
        <f>HYPERLINK("http://www.eatonpowersource.com/products/configure/pumps/details/6423-279","6423-279")</f>
        <v>6423-279</v>
      </c>
      <c r="B12446" s="10" t="s">
        <v>12025</v>
      </c>
    </row>
    <row r="12447" spans="1:2" x14ac:dyDescent="0.3">
      <c r="A12447" s="7" t="str">
        <f>HYPERLINK("http://www.eatonpowersource.com/products/configure/pumps/details/6423-338","6423-338")</f>
        <v>6423-338</v>
      </c>
      <c r="B12447" s="8" t="s">
        <v>12026</v>
      </c>
    </row>
    <row r="12448" spans="1:2" x14ac:dyDescent="0.3">
      <c r="A12448" s="9" t="str">
        <f>HYPERLINK("http://www.eatonpowersource.com/products/configure/pumps/details/6423-348","6423-348")</f>
        <v>6423-348</v>
      </c>
      <c r="B12448" s="10" t="s">
        <v>12027</v>
      </c>
    </row>
    <row r="12449" spans="1:2" x14ac:dyDescent="0.3">
      <c r="A12449" s="7" t="str">
        <f>HYPERLINK("http://www.eatonpowersource.com/products/configure/pumps/details/6423-407","6423-407")</f>
        <v>6423-407</v>
      </c>
      <c r="B12449" s="8" t="s">
        <v>12028</v>
      </c>
    </row>
    <row r="12450" spans="1:2" x14ac:dyDescent="0.3">
      <c r="A12450" s="9" t="str">
        <f>HYPERLINK("http://www.eatonpowersource.com/products/configure/pumps/details/6423-412","6423-412")</f>
        <v>6423-412</v>
      </c>
      <c r="B12450" s="10" t="s">
        <v>12029</v>
      </c>
    </row>
    <row r="12451" spans="1:2" x14ac:dyDescent="0.3">
      <c r="A12451" s="7" t="str">
        <f>HYPERLINK("http://www.eatonpowersource.com/products/configure/pumps/details/6423-413","6423-413")</f>
        <v>6423-413</v>
      </c>
      <c r="B12451" s="8" t="s">
        <v>12030</v>
      </c>
    </row>
    <row r="12452" spans="1:2" x14ac:dyDescent="0.3">
      <c r="A12452" s="9" t="str">
        <f>HYPERLINK("http://www.eatonpowersource.com/products/configure/pumps/details/6423-494","6423-494")</f>
        <v>6423-494</v>
      </c>
      <c r="B12452" s="10" t="s">
        <v>12031</v>
      </c>
    </row>
    <row r="12453" spans="1:2" x14ac:dyDescent="0.3">
      <c r="A12453" s="7" t="str">
        <f>HYPERLINK("http://www.eatonpowersource.com/products/configure/pumps/details/6423-524","6423-524")</f>
        <v>6423-524</v>
      </c>
      <c r="B12453" s="8" t="s">
        <v>12032</v>
      </c>
    </row>
    <row r="12454" spans="1:2" x14ac:dyDescent="0.3">
      <c r="A12454" s="9" t="str">
        <f>HYPERLINK("http://www.eatonpowersource.com/products/configure/pumps/details/6423-545","6423-545")</f>
        <v>6423-545</v>
      </c>
      <c r="B12454" s="10" t="s">
        <v>12033</v>
      </c>
    </row>
    <row r="12455" spans="1:2" x14ac:dyDescent="0.3">
      <c r="A12455" s="7" t="str">
        <f>HYPERLINK("http://www.eatonpowersource.com/products/configure/pumps/details/6423-599","6423-599")</f>
        <v>6423-599</v>
      </c>
      <c r="B12455" s="8" t="s">
        <v>12034</v>
      </c>
    </row>
    <row r="12456" spans="1:2" x14ac:dyDescent="0.3">
      <c r="A12456" s="9" t="str">
        <f>HYPERLINK("http://www.eatonpowersource.com/products/configure/pumps/details/6423-720","6423-720")</f>
        <v>6423-720</v>
      </c>
      <c r="B12456" s="10" t="s">
        <v>12035</v>
      </c>
    </row>
    <row r="12457" spans="1:2" x14ac:dyDescent="0.3">
      <c r="A12457" s="7" t="str">
        <f>HYPERLINK("http://www.eatonpowersource.com/products/configure/pumps/details/6423-771","6423-771")</f>
        <v>6423-771</v>
      </c>
      <c r="B12457" s="8" t="s">
        <v>12036</v>
      </c>
    </row>
    <row r="12458" spans="1:2" x14ac:dyDescent="0.3">
      <c r="A12458" s="9" t="str">
        <f>HYPERLINK("http://www.eatonpowersource.com/products/configure/pumps/details/6433-001","6433-001")</f>
        <v>6433-001</v>
      </c>
      <c r="B12458" s="10" t="s">
        <v>12037</v>
      </c>
    </row>
    <row r="12459" spans="1:2" x14ac:dyDescent="0.3">
      <c r="A12459" s="7" t="str">
        <f>HYPERLINK("http://www.eatonpowersource.com/products/configure/pumps/details/6433-010","6433-010")</f>
        <v>6433-010</v>
      </c>
      <c r="B12459" s="8" t="s">
        <v>12038</v>
      </c>
    </row>
    <row r="12460" spans="1:2" x14ac:dyDescent="0.3">
      <c r="A12460" s="9" t="str">
        <f>HYPERLINK("http://www.eatonpowersource.com/products/configure/pumps/details/6433-013","6433-013")</f>
        <v>6433-013</v>
      </c>
      <c r="B12460" s="10" t="s">
        <v>12039</v>
      </c>
    </row>
    <row r="12461" spans="1:2" x14ac:dyDescent="0.3">
      <c r="A12461" s="7" t="str">
        <f>HYPERLINK("http://www.eatonpowersource.com/products/configure/pumps/details/6433-026","6433-026")</f>
        <v>6433-026</v>
      </c>
      <c r="B12461" s="8" t="s">
        <v>12040</v>
      </c>
    </row>
    <row r="12462" spans="1:2" x14ac:dyDescent="0.3">
      <c r="A12462" s="9" t="str">
        <f>HYPERLINK("http://www.eatonpowersource.com/products/configure/pumps/details/6433-053","6433-053")</f>
        <v>6433-053</v>
      </c>
      <c r="B12462" s="10" t="s">
        <v>12041</v>
      </c>
    </row>
    <row r="12463" spans="1:2" x14ac:dyDescent="0.3">
      <c r="A12463" s="7" t="str">
        <f>HYPERLINK("http://www.eatonpowersource.com/products/configure/pumps/details/6433-120","6433-120")</f>
        <v>6433-120</v>
      </c>
      <c r="B12463" s="8" t="s">
        <v>12042</v>
      </c>
    </row>
    <row r="12464" spans="1:2" x14ac:dyDescent="0.3">
      <c r="A12464" s="9" t="str">
        <f>HYPERLINK("http://www.eatonpowersource.com/products/configure/pumps/details/6433-132","6433-132")</f>
        <v>6433-132</v>
      </c>
      <c r="B12464" s="10" t="s">
        <v>12043</v>
      </c>
    </row>
    <row r="12465" spans="1:2" x14ac:dyDescent="0.3">
      <c r="A12465" s="7" t="str">
        <f>HYPERLINK("http://www.eatonpowersource.com/products/configure/pumps/details/6433-142","6433-142")</f>
        <v>6433-142</v>
      </c>
      <c r="B12465" s="8" t="s">
        <v>12044</v>
      </c>
    </row>
    <row r="12466" spans="1:2" x14ac:dyDescent="0.3">
      <c r="A12466" s="9" t="str">
        <f>HYPERLINK("http://www.eatonpowersource.com/products/configure/pumps/details/6433-162","6433-162")</f>
        <v>6433-162</v>
      </c>
      <c r="B12466" s="10" t="s">
        <v>12045</v>
      </c>
    </row>
    <row r="12467" spans="1:2" x14ac:dyDescent="0.3">
      <c r="A12467" s="7" t="str">
        <f>HYPERLINK("http://www.eatonpowersource.com/products/configure/pumps/details/6441-048","6441-048")</f>
        <v>6441-048</v>
      </c>
      <c r="B12467" s="8" t="s">
        <v>12046</v>
      </c>
    </row>
    <row r="12468" spans="1:2" x14ac:dyDescent="0.3">
      <c r="A12468" s="9" t="str">
        <f>HYPERLINK("http://www.eatonpowersource.com/products/configure/pumps/details/7620-000","7620-000")</f>
        <v>7620-000</v>
      </c>
      <c r="B12468" s="10" t="s">
        <v>12047</v>
      </c>
    </row>
    <row r="12469" spans="1:2" x14ac:dyDescent="0.3">
      <c r="A12469" s="7" t="str">
        <f>HYPERLINK("http://www.eatonpowersource.com/products/configure/pumps/details/7620-011","7620-011")</f>
        <v>7620-011</v>
      </c>
      <c r="B12469" s="8" t="s">
        <v>12048</v>
      </c>
    </row>
    <row r="12470" spans="1:2" x14ac:dyDescent="0.3">
      <c r="A12470" s="9" t="str">
        <f>HYPERLINK("http://www.eatonpowersource.com/products/configure/pumps/details/7620-020","7620-020")</f>
        <v>7620-020</v>
      </c>
      <c r="B12470" s="10" t="s">
        <v>12049</v>
      </c>
    </row>
    <row r="12471" spans="1:2" x14ac:dyDescent="0.3">
      <c r="A12471" s="7" t="str">
        <f>HYPERLINK("http://www.eatonpowersource.com/products/configure/pumps/details/7620-037","7620-037")</f>
        <v>7620-037</v>
      </c>
      <c r="B12471" s="8" t="s">
        <v>12050</v>
      </c>
    </row>
    <row r="12472" spans="1:2" x14ac:dyDescent="0.3">
      <c r="A12472" s="9" t="str">
        <f>HYPERLINK("http://www.eatonpowersource.com/products/configure/pumps/details/7620-041","7620-041")</f>
        <v>7620-041</v>
      </c>
      <c r="B12472" s="10" t="s">
        <v>12051</v>
      </c>
    </row>
    <row r="12473" spans="1:2" x14ac:dyDescent="0.3">
      <c r="A12473" s="7" t="str">
        <f>HYPERLINK("http://www.eatonpowersource.com/products/configure/pumps/details/7620-050","7620-050")</f>
        <v>7620-050</v>
      </c>
      <c r="B12473" s="8" t="s">
        <v>12052</v>
      </c>
    </row>
    <row r="12474" spans="1:2" x14ac:dyDescent="0.3">
      <c r="A12474" s="9" t="str">
        <f>HYPERLINK("http://www.eatonpowersource.com/products/configure/pumps/details/7620-129","7620-129")</f>
        <v>7620-129</v>
      </c>
      <c r="B12474" s="10" t="s">
        <v>12053</v>
      </c>
    </row>
    <row r="12475" spans="1:2" x14ac:dyDescent="0.3">
      <c r="A12475" s="7" t="str">
        <f>HYPERLINK("http://www.eatonpowersource.com/products/configure/pumps/details/7620-168","7620-168")</f>
        <v>7620-168</v>
      </c>
      <c r="B12475" s="8" t="s">
        <v>12054</v>
      </c>
    </row>
    <row r="12476" spans="1:2" x14ac:dyDescent="0.3">
      <c r="A12476" s="9" t="str">
        <f>HYPERLINK("http://www.eatonpowersource.com/products/configure/pumps/details/7620-255","7620-255")</f>
        <v>7620-255</v>
      </c>
      <c r="B12476" s="10" t="s">
        <v>12055</v>
      </c>
    </row>
    <row r="12477" spans="1:2" x14ac:dyDescent="0.3">
      <c r="A12477" s="7" t="str">
        <f>HYPERLINK("http://www.eatonpowersource.com/products/configure/pumps/details/7620-284","7620-284")</f>
        <v>7620-284</v>
      </c>
      <c r="B12477" s="8" t="s">
        <v>12056</v>
      </c>
    </row>
    <row r="12478" spans="1:2" x14ac:dyDescent="0.3">
      <c r="A12478" s="9" t="str">
        <f>HYPERLINK("http://www.eatonpowersource.com/products/configure/pumps/details/7620-288","7620-288")</f>
        <v>7620-288</v>
      </c>
      <c r="B12478" s="10" t="s">
        <v>12057</v>
      </c>
    </row>
    <row r="12479" spans="1:2" x14ac:dyDescent="0.3">
      <c r="A12479" s="7" t="str">
        <f>HYPERLINK("http://www.eatonpowersource.com/products/configure/pumps/details/7620-316","7620-316")</f>
        <v>7620-316</v>
      </c>
      <c r="B12479" s="8" t="s">
        <v>12058</v>
      </c>
    </row>
    <row r="12480" spans="1:2" x14ac:dyDescent="0.3">
      <c r="A12480" s="9" t="str">
        <f>HYPERLINK("http://www.eatonpowersource.com/products/configure/pumps/details/7620-374","7620-374")</f>
        <v>7620-374</v>
      </c>
      <c r="B12480" s="10" t="s">
        <v>12059</v>
      </c>
    </row>
    <row r="12481" spans="1:2" x14ac:dyDescent="0.3">
      <c r="A12481" s="7" t="str">
        <f>HYPERLINK("http://www.eatonpowersource.com/products/configure/pumps/details/7620-375","7620-375")</f>
        <v>7620-375</v>
      </c>
      <c r="B12481" s="8" t="s">
        <v>12060</v>
      </c>
    </row>
    <row r="12482" spans="1:2" x14ac:dyDescent="0.3">
      <c r="A12482" s="9" t="str">
        <f>HYPERLINK("http://www.eatonpowersource.com/products/configure/pumps/details/7620-396","7620-396")</f>
        <v>7620-396</v>
      </c>
      <c r="B12482" s="10" t="s">
        <v>12061</v>
      </c>
    </row>
    <row r="12483" spans="1:2" x14ac:dyDescent="0.3">
      <c r="A12483" s="7" t="str">
        <f>HYPERLINK("http://www.eatonpowersource.com/products/configure/pumps/details/7630-000","7630-000")</f>
        <v>7630-000</v>
      </c>
      <c r="B12483" s="8" t="s">
        <v>12062</v>
      </c>
    </row>
    <row r="12484" spans="1:2" x14ac:dyDescent="0.3">
      <c r="A12484" s="9" t="str">
        <f>HYPERLINK("http://www.eatonpowersource.com/products/configure/pumps/details/7630-004","7630-004")</f>
        <v>7630-004</v>
      </c>
      <c r="B12484" s="10" t="s">
        <v>12063</v>
      </c>
    </row>
    <row r="12485" spans="1:2" x14ac:dyDescent="0.3">
      <c r="A12485" s="7" t="str">
        <f>HYPERLINK("http://www.eatonpowersource.com/products/configure/pumps/details/7630-017","7630-017")</f>
        <v>7630-017</v>
      </c>
      <c r="B12485" s="8" t="s">
        <v>12064</v>
      </c>
    </row>
    <row r="12486" spans="1:2" x14ac:dyDescent="0.3">
      <c r="A12486" s="9" t="str">
        <f>HYPERLINK("http://www.eatonpowersource.com/products/configure/pumps/details/7630-020","7630-020")</f>
        <v>7630-020</v>
      </c>
      <c r="B12486" s="10" t="s">
        <v>12065</v>
      </c>
    </row>
    <row r="12487" spans="1:2" x14ac:dyDescent="0.3">
      <c r="A12487" s="7" t="str">
        <f>HYPERLINK("http://www.eatonpowersource.com/products/configure/pumps/details/7630-037","7630-037")</f>
        <v>7630-037</v>
      </c>
      <c r="B12487" s="8" t="s">
        <v>12066</v>
      </c>
    </row>
    <row r="12488" spans="1:2" x14ac:dyDescent="0.3">
      <c r="A12488" s="9" t="str">
        <f>HYPERLINK("http://www.eatonpowersource.com/products/configure/pumps/details/7630-040","7630-040")</f>
        <v>7630-040</v>
      </c>
      <c r="B12488" s="10" t="s">
        <v>12067</v>
      </c>
    </row>
    <row r="12489" spans="1:2" x14ac:dyDescent="0.3">
      <c r="A12489" s="7" t="str">
        <f>HYPERLINK("http://www.eatonpowersource.com/products/configure/pumps/details/7630-078","7630-078")</f>
        <v>7630-078</v>
      </c>
      <c r="B12489" s="8" t="s">
        <v>12068</v>
      </c>
    </row>
    <row r="12490" spans="1:2" x14ac:dyDescent="0.3">
      <c r="A12490" s="9" t="str">
        <f>HYPERLINK("http://www.eatonpowersource.com/products/configure/pumps/details/7630-080","7630-080")</f>
        <v>7630-080</v>
      </c>
      <c r="B12490" s="10" t="s">
        <v>12069</v>
      </c>
    </row>
    <row r="12491" spans="1:2" x14ac:dyDescent="0.3">
      <c r="A12491" s="7" t="str">
        <f>HYPERLINK("http://www.eatonpowersource.com/products/configure/pumps/details/7640-032","7640-032")</f>
        <v>7640-032</v>
      </c>
      <c r="B12491" s="8" t="s">
        <v>12070</v>
      </c>
    </row>
    <row r="12492" spans="1:2" x14ac:dyDescent="0.3">
      <c r="A12492" s="9" t="str">
        <f>HYPERLINK("http://www.eatonpowersource.com/products/configure/pumps/details/1100-004","1100-004")</f>
        <v>1100-004</v>
      </c>
      <c r="B12492" s="10" t="s">
        <v>12071</v>
      </c>
    </row>
    <row r="12493" spans="1:2" x14ac:dyDescent="0.3">
      <c r="A12493" s="7" t="str">
        <f>HYPERLINK("http://www.eatonpowersource.com/products/configure/pumps/details/1100-065","1100-065")</f>
        <v>1100-065</v>
      </c>
      <c r="B12493" s="8" t="s">
        <v>12072</v>
      </c>
    </row>
    <row r="12494" spans="1:2" x14ac:dyDescent="0.3">
      <c r="A12494" s="9" t="str">
        <f>HYPERLINK("http://www.eatonpowersource.com/products/configure/pumps/details/1100-078","1100-078")</f>
        <v>1100-078</v>
      </c>
      <c r="B12494" s="10" t="s">
        <v>12073</v>
      </c>
    </row>
    <row r="12495" spans="1:2" x14ac:dyDescent="0.3">
      <c r="A12495" s="7" t="str">
        <f>HYPERLINK("http://www.eatonpowersource.com/products/configure/pumps/details/1120-013","1120-013")</f>
        <v>1120-013</v>
      </c>
      <c r="B12495" s="8" t="s">
        <v>12074</v>
      </c>
    </row>
    <row r="12496" spans="1:2" x14ac:dyDescent="0.3">
      <c r="A12496" s="9" t="str">
        <f>HYPERLINK("http://www.eatonpowersource.com/products/configure/pumps/details/1120-016","1120-016")</f>
        <v>1120-016</v>
      </c>
      <c r="B12496" s="10" t="s">
        <v>12075</v>
      </c>
    </row>
    <row r="12497" spans="1:2" x14ac:dyDescent="0.3">
      <c r="A12497" s="7" t="str">
        <f>HYPERLINK("http://www.eatonpowersource.com/products/configure/pumps/details/1120-024","1120-024")</f>
        <v>1120-024</v>
      </c>
      <c r="B12497" s="8" t="s">
        <v>12075</v>
      </c>
    </row>
    <row r="12498" spans="1:2" x14ac:dyDescent="0.3">
      <c r="A12498" s="9" t="str">
        <f>HYPERLINK("http://www.eatonpowersource.com/products/configure/pumps/details/1120-033","1120-033")</f>
        <v>1120-033</v>
      </c>
      <c r="B12498" s="10" t="s">
        <v>12076</v>
      </c>
    </row>
    <row r="12499" spans="1:2" x14ac:dyDescent="0.3">
      <c r="A12499" s="7" t="str">
        <f>HYPERLINK("http://www.eatonpowersource.com/products/configure/pumps/details/1120-040","1120-040")</f>
        <v>1120-040</v>
      </c>
      <c r="B12499" s="8" t="s">
        <v>12076</v>
      </c>
    </row>
    <row r="12500" spans="1:2" x14ac:dyDescent="0.3">
      <c r="A12500" s="9" t="str">
        <f>HYPERLINK("http://www.eatonpowersource.com/products/configure/pumps/details/1120-046","1120-046")</f>
        <v>1120-046</v>
      </c>
      <c r="B12500" s="10" t="s">
        <v>12075</v>
      </c>
    </row>
    <row r="12501" spans="1:2" x14ac:dyDescent="0.3">
      <c r="A12501" s="7" t="str">
        <f>HYPERLINK("http://www.eatonpowersource.com/products/configure/pumps/details/1120-056","1120-056")</f>
        <v>1120-056</v>
      </c>
      <c r="B12501" s="8" t="s">
        <v>12077</v>
      </c>
    </row>
    <row r="12502" spans="1:2" x14ac:dyDescent="0.3">
      <c r="A12502" s="9" t="str">
        <f>HYPERLINK("http://www.eatonpowersource.com/products/configure/pumps/details/600-006","600-006")</f>
        <v>600-006</v>
      </c>
      <c r="B12502" s="10" t="s">
        <v>12078</v>
      </c>
    </row>
    <row r="12503" spans="1:2" x14ac:dyDescent="0.3">
      <c r="A12503" s="7" t="str">
        <f>HYPERLINK("http://www.eatonpowersource.com/products/configure/pumps/details/600-013","600-013")</f>
        <v>600-013</v>
      </c>
      <c r="B12503" s="8" t="s">
        <v>12078</v>
      </c>
    </row>
    <row r="12504" spans="1:2" x14ac:dyDescent="0.3">
      <c r="A12504" s="9" t="str">
        <f>HYPERLINK("http://www.eatonpowersource.com/products/configure/pumps/details/600-018","600-018")</f>
        <v>600-018</v>
      </c>
      <c r="B12504" s="10" t="s">
        <v>12079</v>
      </c>
    </row>
    <row r="12505" spans="1:2" x14ac:dyDescent="0.3">
      <c r="A12505" s="7" t="str">
        <f>HYPERLINK("http://www.eatonpowersource.com/products/configure/pumps/details/600-020","600-020")</f>
        <v>600-020</v>
      </c>
      <c r="B12505" s="8" t="s">
        <v>12080</v>
      </c>
    </row>
    <row r="12506" spans="1:2" x14ac:dyDescent="0.3">
      <c r="A12506" s="9" t="str">
        <f>HYPERLINK("http://www.eatonpowersource.com/products/configure/pumps/details/600-021","600-021")</f>
        <v>600-021</v>
      </c>
      <c r="B12506" s="10" t="s">
        <v>12081</v>
      </c>
    </row>
    <row r="12507" spans="1:2" x14ac:dyDescent="0.3">
      <c r="A12507" s="7" t="str">
        <f>HYPERLINK("http://www.eatonpowersource.com/products/configure/pumps/details/600-022","600-022")</f>
        <v>600-022</v>
      </c>
      <c r="B12507" s="8" t="s">
        <v>12082</v>
      </c>
    </row>
    <row r="12508" spans="1:2" x14ac:dyDescent="0.3">
      <c r="A12508" s="9" t="str">
        <f>HYPERLINK("http://www.eatonpowersource.com/products/configure/pumps/details/600-024","600-024")</f>
        <v>600-024</v>
      </c>
      <c r="B12508" s="10" t="s">
        <v>12079</v>
      </c>
    </row>
    <row r="12509" spans="1:2" x14ac:dyDescent="0.3">
      <c r="A12509" s="7" t="str">
        <f>HYPERLINK("http://www.eatonpowersource.com/products/configure/pumps/details/700-000","700-000")</f>
        <v>700-000</v>
      </c>
      <c r="B12509" s="8" t="s">
        <v>12083</v>
      </c>
    </row>
    <row r="12510" spans="1:2" x14ac:dyDescent="0.3">
      <c r="A12510" s="9" t="str">
        <f>HYPERLINK("http://www.eatonpowersource.com/products/configure/pumps/details/700-001","700-001")</f>
        <v>700-001</v>
      </c>
      <c r="B12510" s="10" t="s">
        <v>12084</v>
      </c>
    </row>
    <row r="12511" spans="1:2" x14ac:dyDescent="0.3">
      <c r="A12511" s="7" t="str">
        <f>HYPERLINK("http://www.eatonpowersource.com/products/configure/pumps/details/700-002","700-002")</f>
        <v>700-002</v>
      </c>
      <c r="B12511" s="8" t="s">
        <v>12085</v>
      </c>
    </row>
    <row r="12512" spans="1:2" x14ac:dyDescent="0.3">
      <c r="A12512" s="9" t="str">
        <f>HYPERLINK("http://www.eatonpowersource.com/products/configure/pumps/details/700-003","700-003")</f>
        <v>700-003</v>
      </c>
      <c r="B12512" s="10" t="s">
        <v>12086</v>
      </c>
    </row>
    <row r="12513" spans="1:2" x14ac:dyDescent="0.3">
      <c r="A12513" s="7" t="str">
        <f>HYPERLINK("http://www.eatonpowersource.com/products/configure/pumps/details/700-008","700-008")</f>
        <v>700-008</v>
      </c>
      <c r="B12513" s="8" t="s">
        <v>12087</v>
      </c>
    </row>
    <row r="12514" spans="1:2" x14ac:dyDescent="0.3">
      <c r="A12514" s="9" t="str">
        <f>HYPERLINK("http://www.eatonpowersource.com/products/configure/pumps/details/700-011","700-011")</f>
        <v>700-011</v>
      </c>
      <c r="B12514" s="10" t="s">
        <v>12088</v>
      </c>
    </row>
    <row r="12515" spans="1:2" x14ac:dyDescent="0.3">
      <c r="A12515" s="7" t="str">
        <f>HYPERLINK("http://www.eatonpowersource.com/products/configure/pumps/details/700-012","700-012")</f>
        <v>700-012</v>
      </c>
      <c r="B12515" s="8" t="s">
        <v>12089</v>
      </c>
    </row>
    <row r="12516" spans="1:2" x14ac:dyDescent="0.3">
      <c r="A12516" s="9" t="str">
        <f>HYPERLINK("http://www.eatonpowersource.com/products/configure/pumps/details/700-014","700-014")</f>
        <v>700-014</v>
      </c>
      <c r="B12516" s="10" t="s">
        <v>12080</v>
      </c>
    </row>
    <row r="12517" spans="1:2" x14ac:dyDescent="0.3">
      <c r="A12517" s="7" t="str">
        <f>HYPERLINK("http://www.eatonpowersource.com/products/configure/pumps/details/700-022","700-022")</f>
        <v>700-022</v>
      </c>
      <c r="B12517" s="8" t="s">
        <v>12089</v>
      </c>
    </row>
    <row r="12518" spans="1:2" x14ac:dyDescent="0.3">
      <c r="A12518" s="9" t="str">
        <f>HYPERLINK("http://www.eatonpowersource.com/products/configure/pumps/details/700-023","700-023")</f>
        <v>700-023</v>
      </c>
      <c r="B12518" s="10" t="s">
        <v>12090</v>
      </c>
    </row>
    <row r="12519" spans="1:2" x14ac:dyDescent="0.3">
      <c r="A12519" s="7" t="str">
        <f>HYPERLINK("http://www.eatonpowersource.com/products/configure/pumps/details/700-024","700-024")</f>
        <v>700-024</v>
      </c>
      <c r="B12519" s="8" t="s">
        <v>12091</v>
      </c>
    </row>
    <row r="12520" spans="1:2" x14ac:dyDescent="0.3">
      <c r="A12520" s="9" t="str">
        <f>HYPERLINK("http://www.eatonpowersource.com/products/configure/pumps/details/700-039","700-039")</f>
        <v>700-039</v>
      </c>
      <c r="B12520" s="10" t="s">
        <v>12089</v>
      </c>
    </row>
    <row r="12521" spans="1:2" x14ac:dyDescent="0.3">
      <c r="A12521" s="7" t="str">
        <f>HYPERLINK("http://www.eatonpowersource.com/products/configure/pumps/details/700-040","700-040")</f>
        <v>700-040</v>
      </c>
      <c r="B12521" s="8" t="s">
        <v>12092</v>
      </c>
    </row>
    <row r="12522" spans="1:2" x14ac:dyDescent="0.3">
      <c r="A12522" s="9" t="str">
        <f>HYPERLINK("http://www.eatonpowersource.com/products/configure/pumps/details/700-055","700-055")</f>
        <v>700-055</v>
      </c>
      <c r="B12522" s="10" t="s">
        <v>12093</v>
      </c>
    </row>
    <row r="12523" spans="1:2" x14ac:dyDescent="0.3">
      <c r="A12523" s="7" t="str">
        <f>HYPERLINK("http://www.eatonpowersource.com/products/configure/pumps/details/700-056","700-056")</f>
        <v>700-056</v>
      </c>
      <c r="B12523" s="8" t="s">
        <v>12092</v>
      </c>
    </row>
    <row r="12524" spans="1:2" x14ac:dyDescent="0.3">
      <c r="A12524" s="9" t="str">
        <f>HYPERLINK("http://www.eatonpowersource.com/products/configure/pumps/details/720-000","720-000")</f>
        <v>720-000</v>
      </c>
      <c r="B12524" s="10" t="s">
        <v>12094</v>
      </c>
    </row>
    <row r="12525" spans="1:2" x14ac:dyDescent="0.3">
      <c r="A12525" s="7" t="str">
        <f>HYPERLINK("http://www.eatonpowersource.com/products/configure/pumps/details/720-002","720-002")</f>
        <v>720-002</v>
      </c>
      <c r="B12525" s="8" t="s">
        <v>12095</v>
      </c>
    </row>
    <row r="12526" spans="1:2" x14ac:dyDescent="0.3">
      <c r="A12526" s="9" t="str">
        <f>HYPERLINK("http://www.eatonpowersource.com/products/configure/pumps/details/720-003","720-003")</f>
        <v>720-003</v>
      </c>
      <c r="B12526" s="10" t="s">
        <v>12096</v>
      </c>
    </row>
    <row r="12527" spans="1:2" x14ac:dyDescent="0.3">
      <c r="A12527" s="7" t="str">
        <f>HYPERLINK("http://www.eatonpowersource.com/products/configure/pumps/details/720-006","720-006")</f>
        <v>720-006</v>
      </c>
      <c r="B12527" s="8" t="s">
        <v>12097</v>
      </c>
    </row>
    <row r="12528" spans="1:2" x14ac:dyDescent="0.3">
      <c r="A12528" s="9" t="str">
        <f>HYPERLINK("http://www.eatonpowersource.com/products/configure/pumps/details/720-009","720-009")</f>
        <v>720-009</v>
      </c>
      <c r="B12528" s="10" t="s">
        <v>12098</v>
      </c>
    </row>
    <row r="12529" spans="1:2" x14ac:dyDescent="0.3">
      <c r="A12529" s="7" t="str">
        <f>HYPERLINK("http://www.eatonpowersource.com/products/configure/pumps/details/25500-lsb","25500-LSB")</f>
        <v>25500-LSB</v>
      </c>
      <c r="B12529" s="8" t="s">
        <v>12099</v>
      </c>
    </row>
    <row r="12530" spans="1:2" x14ac:dyDescent="0.3">
      <c r="A12530" s="9" t="str">
        <f>HYPERLINK("http://www.eatonpowersource.com/products/configure/pumps/details/25500-rsa","25500-RSA")</f>
        <v>25500-RSA</v>
      </c>
      <c r="B12530" s="10" t="s">
        <v>12100</v>
      </c>
    </row>
    <row r="12531" spans="1:2" x14ac:dyDescent="0.3">
      <c r="A12531" s="7" t="str">
        <f>HYPERLINK("http://www.eatonpowersource.com/products/configure/pumps/details/25500-rsb","25500-RSB")</f>
        <v>25500-RSB</v>
      </c>
      <c r="B12531" s="8" t="s">
        <v>12101</v>
      </c>
    </row>
    <row r="12532" spans="1:2" x14ac:dyDescent="0.3">
      <c r="A12532" s="9" t="str">
        <f>HYPERLINK("http://www.eatonpowersource.com/products/configure/pumps/details/25501-lsb","25501-LSB")</f>
        <v>25501-LSB</v>
      </c>
      <c r="B12532" s="10" t="s">
        <v>12102</v>
      </c>
    </row>
    <row r="12533" spans="1:2" x14ac:dyDescent="0.3">
      <c r="A12533" s="7" t="str">
        <f>HYPERLINK("http://www.eatonpowersource.com/products/configure/pumps/details/25501-lsj","25501-LSJ")</f>
        <v>25501-LSJ</v>
      </c>
      <c r="B12533" s="8" t="s">
        <v>12103</v>
      </c>
    </row>
    <row r="12534" spans="1:2" x14ac:dyDescent="0.3">
      <c r="A12534" s="9" t="str">
        <f>HYPERLINK("http://www.eatonpowersource.com/products/configure/pumps/details/25501-rsa","25501-RSA")</f>
        <v>25501-RSA</v>
      </c>
      <c r="B12534" s="10" t="s">
        <v>12104</v>
      </c>
    </row>
    <row r="12535" spans="1:2" x14ac:dyDescent="0.3">
      <c r="A12535" s="7" t="str">
        <f>HYPERLINK("http://www.eatonpowersource.com/products/configure/pumps/details/25501-rse","25501-RSE")</f>
        <v>25501-RSE</v>
      </c>
      <c r="B12535" s="8" t="s">
        <v>12105</v>
      </c>
    </row>
    <row r="12536" spans="1:2" x14ac:dyDescent="0.3">
      <c r="A12536" s="9" t="str">
        <f>HYPERLINK("http://www.eatonpowersource.com/products/configure/pumps/details/25502-laf","25502-LAF")</f>
        <v>25502-LAF</v>
      </c>
      <c r="B12536" s="10" t="s">
        <v>12106</v>
      </c>
    </row>
    <row r="12537" spans="1:2" x14ac:dyDescent="0.3">
      <c r="A12537" s="7" t="str">
        <f>HYPERLINK("http://www.eatonpowersource.com/products/configure/pumps/details/25502-lsa","25502-LSA")</f>
        <v>25502-LSA</v>
      </c>
      <c r="B12537" s="8" t="s">
        <v>12107</v>
      </c>
    </row>
    <row r="12538" spans="1:2" x14ac:dyDescent="0.3">
      <c r="A12538" s="9" t="str">
        <f>HYPERLINK("http://www.eatonpowersource.com/products/configure/pumps/details/25502-rah","25502-RAH")</f>
        <v>25502-RAH</v>
      </c>
      <c r="B12538" s="10" t="s">
        <v>12108</v>
      </c>
    </row>
    <row r="12539" spans="1:2" x14ac:dyDescent="0.3">
      <c r="A12539" s="7" t="str">
        <f>HYPERLINK("http://www.eatonpowersource.com/products/configure/pumps/details/25502-ram","25502-RAM")</f>
        <v>25502-RAM</v>
      </c>
      <c r="B12539" s="8" t="s">
        <v>12109</v>
      </c>
    </row>
    <row r="12540" spans="1:2" x14ac:dyDescent="0.3">
      <c r="A12540" s="9" t="str">
        <f>HYPERLINK("http://www.eatonpowersource.com/products/configure/pumps/details/25502-rsa","25502-RSA")</f>
        <v>25502-RSA</v>
      </c>
      <c r="B12540" s="10" t="s">
        <v>12108</v>
      </c>
    </row>
    <row r="12541" spans="1:2" x14ac:dyDescent="0.3">
      <c r="A12541" s="7" t="str">
        <f>HYPERLINK("http://www.eatonpowersource.com/products/configure/pumps/details/25502-rsb","25502-RSB")</f>
        <v>25502-RSB</v>
      </c>
      <c r="B12541" s="8" t="s">
        <v>12109</v>
      </c>
    </row>
    <row r="12542" spans="1:2" x14ac:dyDescent="0.3">
      <c r="A12542" s="9" t="str">
        <f>HYPERLINK("http://www.eatonpowersource.com/products/configure/pumps/details/25503-lsb","25503-LSB")</f>
        <v>25503-LSB</v>
      </c>
      <c r="B12542" s="10" t="s">
        <v>12110</v>
      </c>
    </row>
    <row r="12543" spans="1:2" x14ac:dyDescent="0.3">
      <c r="A12543" s="7" t="str">
        <f>HYPERLINK("http://www.eatonpowersource.com/products/configure/pumps/details/25503-lsc","25503-LSC")</f>
        <v>25503-LSC</v>
      </c>
      <c r="B12543" s="8" t="s">
        <v>12111</v>
      </c>
    </row>
    <row r="12544" spans="1:2" x14ac:dyDescent="0.3">
      <c r="A12544" s="9" t="str">
        <f>HYPERLINK("http://www.eatonpowersource.com/products/configure/pumps/details/25503-lse","25503-LSE")</f>
        <v>25503-LSE</v>
      </c>
      <c r="B12544" s="10" t="s">
        <v>12112</v>
      </c>
    </row>
    <row r="12545" spans="1:2" x14ac:dyDescent="0.3">
      <c r="A12545" s="7" t="str">
        <f>HYPERLINK("http://www.eatonpowersource.com/products/configure/pumps/details/25503-ran","25503-RAN")</f>
        <v>25503-RAN</v>
      </c>
      <c r="B12545" s="8" t="s">
        <v>12113</v>
      </c>
    </row>
    <row r="12546" spans="1:2" x14ac:dyDescent="0.3">
      <c r="A12546" s="9" t="str">
        <f>HYPERLINK("http://www.eatonpowersource.com/products/configure/pumps/details/25503-rsa","25503-RSA")</f>
        <v>25503-RSA</v>
      </c>
      <c r="B12546" s="10" t="s">
        <v>12114</v>
      </c>
    </row>
    <row r="12547" spans="1:2" x14ac:dyDescent="0.3">
      <c r="A12547" s="7" t="str">
        <f>HYPERLINK("http://www.eatonpowersource.com/products/configure/pumps/details/25503-rsc","25503-RSC")</f>
        <v>25503-RSC</v>
      </c>
      <c r="B12547" s="8" t="s">
        <v>12115</v>
      </c>
    </row>
    <row r="12548" spans="1:2" x14ac:dyDescent="0.3">
      <c r="A12548" s="9" t="str">
        <f>HYPERLINK("http://www.eatonpowersource.com/products/configure/pumps/details/25503-rsd","25503-RSD")</f>
        <v>25503-RSD</v>
      </c>
      <c r="B12548" s="10" t="s">
        <v>12116</v>
      </c>
    </row>
    <row r="12549" spans="1:2" x14ac:dyDescent="0.3">
      <c r="A12549" s="7" t="str">
        <f>HYPERLINK("http://www.eatonpowersource.com/products/configure/pumps/details/25504-lal","25504-LAL")</f>
        <v>25504-LAL</v>
      </c>
      <c r="B12549" s="8" t="s">
        <v>12117</v>
      </c>
    </row>
    <row r="12550" spans="1:2" x14ac:dyDescent="0.3">
      <c r="A12550" s="9" t="str">
        <f>HYPERLINK("http://www.eatonpowersource.com/products/configure/pumps/details/25504-lsa","25504-LSA")</f>
        <v>25504-LSA</v>
      </c>
      <c r="B12550" s="10" t="s">
        <v>12118</v>
      </c>
    </row>
    <row r="12551" spans="1:2" x14ac:dyDescent="0.3">
      <c r="A12551" s="7" t="str">
        <f>HYPERLINK("http://www.eatonpowersource.com/products/configure/pumps/details/25504-rak","25504-RAK")</f>
        <v>25504-RAK</v>
      </c>
      <c r="B12551" s="8" t="s">
        <v>12119</v>
      </c>
    </row>
    <row r="12552" spans="1:2" x14ac:dyDescent="0.3">
      <c r="A12552" s="9" t="str">
        <f>HYPERLINK("http://www.eatonpowersource.com/products/configure/pumps/details/25504-rar","25504-RAR")</f>
        <v>25504-RAR</v>
      </c>
      <c r="B12552" s="10" t="s">
        <v>12120</v>
      </c>
    </row>
    <row r="12553" spans="1:2" x14ac:dyDescent="0.3">
      <c r="A12553" s="7" t="str">
        <f>HYPERLINK("http://www.eatonpowersource.com/products/configure/pumps/details/25504-rat","25504-RAT")</f>
        <v>25504-RAT</v>
      </c>
      <c r="B12553" s="8" t="s">
        <v>12121</v>
      </c>
    </row>
    <row r="12554" spans="1:2" x14ac:dyDescent="0.3">
      <c r="A12554" s="9" t="str">
        <f>HYPERLINK("http://www.eatonpowersource.com/products/configure/pumps/details/25504-rsa","25504-RSA")</f>
        <v>25504-RSA</v>
      </c>
      <c r="B12554" s="10" t="s">
        <v>12122</v>
      </c>
    </row>
    <row r="12555" spans="1:2" x14ac:dyDescent="0.3">
      <c r="A12555" s="7" t="str">
        <f>HYPERLINK("http://www.eatonpowersource.com/products/configure/pumps/details/25504-rsc","25504-RSC")</f>
        <v>25504-RSC</v>
      </c>
      <c r="B12555" s="8" t="s">
        <v>12123</v>
      </c>
    </row>
    <row r="12556" spans="1:2" x14ac:dyDescent="0.3">
      <c r="A12556" s="9" t="str">
        <f>HYPERLINK("http://www.eatonpowersource.com/products/configure/pumps/details/25505-law","25505-LAW")</f>
        <v>25505-LAW</v>
      </c>
      <c r="B12556" s="10" t="s">
        <v>12124</v>
      </c>
    </row>
    <row r="12557" spans="1:2" x14ac:dyDescent="0.3">
      <c r="A12557" s="7" t="str">
        <f>HYPERLINK("http://www.eatonpowersource.com/products/configure/pumps/details/25505-lsa","25505-LSA")</f>
        <v>25505-LSA</v>
      </c>
      <c r="B12557" s="8" t="s">
        <v>12125</v>
      </c>
    </row>
    <row r="12558" spans="1:2" x14ac:dyDescent="0.3">
      <c r="A12558" s="9" t="str">
        <f>HYPERLINK("http://www.eatonpowersource.com/products/configure/pumps/details/25505-lsb","25505-LSB")</f>
        <v>25505-LSB</v>
      </c>
      <c r="B12558" s="10" t="s">
        <v>12126</v>
      </c>
    </row>
    <row r="12559" spans="1:2" x14ac:dyDescent="0.3">
      <c r="A12559" s="7" t="str">
        <f>HYPERLINK("http://www.eatonpowersource.com/products/configure/pumps/details/25505-raf","25505-RAF")</f>
        <v>25505-RAF</v>
      </c>
      <c r="B12559" s="8" t="s">
        <v>12127</v>
      </c>
    </row>
    <row r="12560" spans="1:2" x14ac:dyDescent="0.3">
      <c r="A12560" s="9" t="str">
        <f>HYPERLINK("http://www.eatonpowersource.com/products/configure/pumps/details/25505-rsa","25505-RSA")</f>
        <v>25505-RSA</v>
      </c>
      <c r="B12560" s="10" t="s">
        <v>12128</v>
      </c>
    </row>
    <row r="12561" spans="1:2" x14ac:dyDescent="0.3">
      <c r="A12561" s="7" t="str">
        <f>HYPERLINK("http://www.eatonpowersource.com/products/configure/pumps/details/25505-rsc","25505-RSC")</f>
        <v>25505-RSC</v>
      </c>
      <c r="B12561" s="8" t="s">
        <v>12129</v>
      </c>
    </row>
    <row r="12562" spans="1:2" x14ac:dyDescent="0.3">
      <c r="A12562" s="9" t="str">
        <f>HYPERLINK("http://www.eatonpowersource.com/products/configure/pumps/details/25505-rse","25505-RSE")</f>
        <v>25505-RSE</v>
      </c>
      <c r="B12562" s="10" t="s">
        <v>12130</v>
      </c>
    </row>
    <row r="12563" spans="1:2" x14ac:dyDescent="0.3">
      <c r="A12563" s="7" t="str">
        <f>HYPERLINK("http://www.eatonpowersource.com/products/configure/pumps/details/25506-lah","25506-LAH")</f>
        <v>25506-LAH</v>
      </c>
      <c r="B12563" s="8" t="s">
        <v>12131</v>
      </c>
    </row>
    <row r="12564" spans="1:2" x14ac:dyDescent="0.3">
      <c r="A12564" s="9" t="str">
        <f>HYPERLINK("http://www.eatonpowersource.com/products/configure/pumps/details/25506-lak","25506-LAK")</f>
        <v>25506-LAK</v>
      </c>
      <c r="B12564" s="10" t="s">
        <v>12132</v>
      </c>
    </row>
    <row r="12565" spans="1:2" x14ac:dyDescent="0.3">
      <c r="A12565" s="7" t="str">
        <f>HYPERLINK("http://www.eatonpowersource.com/products/configure/pumps/details/25506-lsa","25506-LSA")</f>
        <v>25506-LSA</v>
      </c>
      <c r="B12565" s="8" t="s">
        <v>12132</v>
      </c>
    </row>
    <row r="12566" spans="1:2" x14ac:dyDescent="0.3">
      <c r="A12566" s="9" t="str">
        <f>HYPERLINK("http://www.eatonpowersource.com/products/configure/pumps/details/25506-lse","25506-LSE")</f>
        <v>25506-LSE</v>
      </c>
      <c r="B12566" s="10" t="s">
        <v>12133</v>
      </c>
    </row>
    <row r="12567" spans="1:2" x14ac:dyDescent="0.3">
      <c r="A12567" s="7" t="str">
        <f>HYPERLINK("http://www.eatonpowersource.com/products/configure/pumps/details/25506-rag","25506-RAG")</f>
        <v>25506-RAG</v>
      </c>
      <c r="B12567" s="8" t="s">
        <v>12134</v>
      </c>
    </row>
    <row r="12568" spans="1:2" x14ac:dyDescent="0.3">
      <c r="A12568" s="9" t="str">
        <f>HYPERLINK("http://www.eatonpowersource.com/products/configure/pumps/details/25506-rsb","25506-RSB")</f>
        <v>25506-RSB</v>
      </c>
      <c r="B12568" s="10" t="s">
        <v>12134</v>
      </c>
    </row>
    <row r="12569" spans="1:2" x14ac:dyDescent="0.3">
      <c r="A12569" s="7" t="str">
        <f>HYPERLINK("http://www.eatonpowersource.com/products/configure/pumps/details/25506-rsf","25506-RSF")</f>
        <v>25506-RSF</v>
      </c>
      <c r="B12569" s="8" t="s">
        <v>12135</v>
      </c>
    </row>
    <row r="12570" spans="1:2" x14ac:dyDescent="0.3">
      <c r="A12570" s="9" t="str">
        <f>HYPERLINK("http://www.eatonpowersource.com/products/configure/pumps/details/25507-lam","25507-LAM")</f>
        <v>25507-LAM</v>
      </c>
      <c r="B12570" s="10" t="s">
        <v>12136</v>
      </c>
    </row>
    <row r="12571" spans="1:2" x14ac:dyDescent="0.3">
      <c r="A12571" s="7" t="str">
        <f>HYPERLINK("http://www.eatonpowersource.com/products/configure/pumps/details/25507-lar","25507-LAR")</f>
        <v>25507-LAR</v>
      </c>
      <c r="B12571" s="8" t="s">
        <v>12137</v>
      </c>
    </row>
    <row r="12572" spans="1:2" x14ac:dyDescent="0.3">
      <c r="A12572" s="9" t="str">
        <f>HYPERLINK("http://www.eatonpowersource.com/products/configure/pumps/details/25507-lsa","25507-LSA")</f>
        <v>25507-LSA</v>
      </c>
      <c r="B12572" s="10" t="s">
        <v>12138</v>
      </c>
    </row>
    <row r="12573" spans="1:2" x14ac:dyDescent="0.3">
      <c r="A12573" s="7" t="str">
        <f>HYPERLINK("http://www.eatonpowersource.com/products/configure/pumps/details/25507-lse","25507-LSE")</f>
        <v>25507-LSE</v>
      </c>
      <c r="B12573" s="8" t="s">
        <v>12139</v>
      </c>
    </row>
    <row r="12574" spans="1:2" x14ac:dyDescent="0.3">
      <c r="A12574" s="9" t="str">
        <f>HYPERLINK("http://www.eatonpowersource.com/products/configure/pumps/details/25507-rsd","25507-RSD")</f>
        <v>25507-RSD</v>
      </c>
      <c r="B12574" s="10" t="s">
        <v>12140</v>
      </c>
    </row>
    <row r="12575" spans="1:2" x14ac:dyDescent="0.3">
      <c r="A12575" s="7" t="str">
        <f>HYPERLINK("http://www.eatonpowersource.com/products/configure/pumps/details/25508-rsf","25508-RSF")</f>
        <v>25508-RSF</v>
      </c>
      <c r="B12575" s="8" t="s">
        <v>12141</v>
      </c>
    </row>
    <row r="12576" spans="1:2" x14ac:dyDescent="0.3">
      <c r="A12576" s="9" t="str">
        <f>HYPERLINK("http://www.eatonpowersource.com/products/configure/pumps/details/25534-lam","25534-LAM")</f>
        <v>25534-LAM</v>
      </c>
      <c r="B12576" s="10" t="s">
        <v>12142</v>
      </c>
    </row>
    <row r="12577" spans="1:2" x14ac:dyDescent="0.3">
      <c r="A12577" s="7" t="str">
        <f>HYPERLINK("http://www.eatonpowersource.com/products/configure/pumps/details/25538-rac","25538-RAC")</f>
        <v>25538-RAC</v>
      </c>
      <c r="B12577" s="8" t="s">
        <v>12143</v>
      </c>
    </row>
    <row r="12578" spans="1:2" x14ac:dyDescent="0.3">
      <c r="A12578" s="9" t="str">
        <f>HYPERLINK("http://www.eatonpowersource.com/products/configure/pumps/details/25544-lad","25544-LAD")</f>
        <v>25544-LAD</v>
      </c>
      <c r="B12578" s="10" t="s">
        <v>12144</v>
      </c>
    </row>
    <row r="12579" spans="1:2" x14ac:dyDescent="0.3">
      <c r="A12579" s="7" t="str">
        <f>HYPERLINK("http://www.eatonpowersource.com/products/configure/pumps/details/25545-rag","25545-RAG")</f>
        <v>25545-RAG</v>
      </c>
      <c r="B12579" s="8" t="s">
        <v>12145</v>
      </c>
    </row>
    <row r="12580" spans="1:2" x14ac:dyDescent="0.3">
      <c r="A12580" s="9" t="str">
        <f>HYPERLINK("http://www.eatonpowersource.com/products/configure/pumps/details/25586-rak","25586-RAK")</f>
        <v>25586-RAK</v>
      </c>
      <c r="B12580" s="10" t="s">
        <v>12146</v>
      </c>
    </row>
    <row r="12581" spans="1:2" x14ac:dyDescent="0.3">
      <c r="A12581" s="7" t="str">
        <f>HYPERLINK("http://www.eatonpowersource.com/products/configure/pumps/details/26001-lzg","26001-LZG")</f>
        <v>26001-LZG</v>
      </c>
      <c r="B12581" s="8" t="s">
        <v>12147</v>
      </c>
    </row>
    <row r="12582" spans="1:2" x14ac:dyDescent="0.3">
      <c r="A12582" s="9" t="str">
        <f>HYPERLINK("http://www.eatonpowersource.com/products/configure/pumps/details/26001-lzh","26001-LZH")</f>
        <v>26001-LZH</v>
      </c>
      <c r="B12582" s="10" t="s">
        <v>12148</v>
      </c>
    </row>
    <row r="12583" spans="1:2" x14ac:dyDescent="0.3">
      <c r="A12583" s="7" t="str">
        <f>HYPERLINK("http://www.eatonpowersource.com/products/configure/pumps/details/26001-rzc","26001-RZC")</f>
        <v>26001-RZC</v>
      </c>
      <c r="B12583" s="8" t="s">
        <v>12149</v>
      </c>
    </row>
    <row r="12584" spans="1:2" x14ac:dyDescent="0.3">
      <c r="A12584" s="9" t="str">
        <f>HYPERLINK("http://www.eatonpowersource.com/products/configure/pumps/details/26001-rzg","26001-RZG")</f>
        <v>26001-RZG</v>
      </c>
      <c r="B12584" s="10" t="s">
        <v>12150</v>
      </c>
    </row>
    <row r="12585" spans="1:2" x14ac:dyDescent="0.3">
      <c r="A12585" s="7" t="str">
        <f>HYPERLINK("http://www.eatonpowersource.com/products/configure/pumps/details/26001-rzj","26001-RZJ")</f>
        <v>26001-RZJ</v>
      </c>
      <c r="B12585" s="8" t="s">
        <v>12151</v>
      </c>
    </row>
    <row r="12586" spans="1:2" x14ac:dyDescent="0.3">
      <c r="A12586" s="9" t="str">
        <f>HYPERLINK("http://www.eatonpowersource.com/products/configure/pumps/details/26001-rzk","26001-RZK")</f>
        <v>26001-RZK</v>
      </c>
      <c r="B12586" s="10" t="s">
        <v>12152</v>
      </c>
    </row>
    <row r="12587" spans="1:2" x14ac:dyDescent="0.3">
      <c r="A12587" s="7" t="str">
        <f>HYPERLINK("http://www.eatonpowersource.com/products/configure/pumps/details/26001-rzr","26001-RZR")</f>
        <v>26001-RZR</v>
      </c>
      <c r="B12587" s="8" t="s">
        <v>12153</v>
      </c>
    </row>
    <row r="12588" spans="1:2" x14ac:dyDescent="0.3">
      <c r="A12588" s="9" t="str">
        <f>HYPERLINK("http://www.eatonpowersource.com/products/configure/pumps/details/26002-lzc","26002-LZC")</f>
        <v>26002-LZC</v>
      </c>
      <c r="B12588" s="10" t="s">
        <v>12154</v>
      </c>
    </row>
    <row r="12589" spans="1:2" x14ac:dyDescent="0.3">
      <c r="A12589" s="7" t="str">
        <f>HYPERLINK("http://www.eatonpowersource.com/products/configure/pumps/details/26002-lze","26002-LZE")</f>
        <v>26002-LZE</v>
      </c>
      <c r="B12589" s="8" t="s">
        <v>12155</v>
      </c>
    </row>
    <row r="12590" spans="1:2" x14ac:dyDescent="0.3">
      <c r="A12590" s="9" t="str">
        <f>HYPERLINK("http://www.eatonpowersource.com/products/configure/pumps/details/26002-rar","26002-RAR")</f>
        <v>26002-RAR</v>
      </c>
      <c r="B12590" s="10" t="s">
        <v>12156</v>
      </c>
    </row>
    <row r="12591" spans="1:2" x14ac:dyDescent="0.3">
      <c r="A12591" s="7" t="str">
        <f>HYPERLINK("http://www.eatonpowersource.com/products/configure/pumps/details/26002-rzc","26002-RZC")</f>
        <v>26002-RZC</v>
      </c>
      <c r="B12591" s="8" t="s">
        <v>12157</v>
      </c>
    </row>
    <row r="12592" spans="1:2" x14ac:dyDescent="0.3">
      <c r="A12592" s="9" t="str">
        <f>HYPERLINK("http://www.eatonpowersource.com/products/configure/pumps/details/26002-rze","26002-RZE")</f>
        <v>26002-RZE</v>
      </c>
      <c r="B12592" s="10" t="s">
        <v>12158</v>
      </c>
    </row>
    <row r="12593" spans="1:2" x14ac:dyDescent="0.3">
      <c r="A12593" s="7" t="str">
        <f>HYPERLINK("http://www.eatonpowersource.com/products/configure/pumps/details/26002-rzg","26002-RZG")</f>
        <v>26002-RZG</v>
      </c>
      <c r="B12593" s="8" t="s">
        <v>12159</v>
      </c>
    </row>
    <row r="12594" spans="1:2" x14ac:dyDescent="0.3">
      <c r="A12594" s="9" t="str">
        <f>HYPERLINK("http://www.eatonpowersource.com/products/configure/pumps/details/26002-rzj","26002-RZJ")</f>
        <v>26002-RZJ</v>
      </c>
      <c r="B12594" s="10" t="s">
        <v>12160</v>
      </c>
    </row>
    <row r="12595" spans="1:2" x14ac:dyDescent="0.3">
      <c r="A12595" s="7" t="str">
        <f>HYPERLINK("http://www.eatonpowersource.com/products/configure/pumps/details/26003-lzj","26003-LZJ")</f>
        <v>26003-LZJ</v>
      </c>
      <c r="B12595" s="8" t="s">
        <v>12161</v>
      </c>
    </row>
    <row r="12596" spans="1:2" x14ac:dyDescent="0.3">
      <c r="A12596" s="9" t="str">
        <f>HYPERLINK("http://www.eatonpowersource.com/products/configure/pumps/details/26003-rag","26003-RAG")</f>
        <v>26003-RAG</v>
      </c>
      <c r="B12596" s="10" t="s">
        <v>12162</v>
      </c>
    </row>
    <row r="12597" spans="1:2" x14ac:dyDescent="0.3">
      <c r="A12597" s="7" t="str">
        <f>HYPERLINK("http://www.eatonpowersource.com/products/configure/pumps/details/26003-rzc","26003-RZC")</f>
        <v>26003-RZC</v>
      </c>
      <c r="B12597" s="8" t="s">
        <v>12163</v>
      </c>
    </row>
    <row r="12598" spans="1:2" x14ac:dyDescent="0.3">
      <c r="A12598" s="9" t="str">
        <f>HYPERLINK("http://www.eatonpowersource.com/products/configure/pumps/details/26003-rze","26003-RZE")</f>
        <v>26003-RZE</v>
      </c>
      <c r="B12598" s="10" t="s">
        <v>12164</v>
      </c>
    </row>
    <row r="12599" spans="1:2" x14ac:dyDescent="0.3">
      <c r="A12599" s="7" t="str">
        <f>HYPERLINK("http://www.eatonpowersource.com/products/configure/pumps/details/26003-rzg","26003-RZG")</f>
        <v>26003-RZG</v>
      </c>
      <c r="B12599" s="8" t="s">
        <v>12165</v>
      </c>
    </row>
    <row r="12600" spans="1:2" x14ac:dyDescent="0.3">
      <c r="A12600" s="9" t="str">
        <f>HYPERLINK("http://www.eatonpowersource.com/products/configure/pumps/details/26004-lzd","26004-LZD")</f>
        <v>26004-LZD</v>
      </c>
      <c r="B12600" s="10" t="s">
        <v>12166</v>
      </c>
    </row>
    <row r="12601" spans="1:2" x14ac:dyDescent="0.3">
      <c r="A12601" s="7" t="str">
        <f>HYPERLINK("http://www.eatonpowersource.com/products/configure/pumps/details/26004-lze","26004-LZE")</f>
        <v>26004-LZE</v>
      </c>
      <c r="B12601" s="8" t="s">
        <v>12167</v>
      </c>
    </row>
    <row r="12602" spans="1:2" x14ac:dyDescent="0.3">
      <c r="A12602" s="9" t="str">
        <f>HYPERLINK("http://www.eatonpowersource.com/products/configure/pumps/details/26004-rap","26004-RAP")</f>
        <v>26004-RAP</v>
      </c>
      <c r="B12602" s="10" t="s">
        <v>12168</v>
      </c>
    </row>
    <row r="12603" spans="1:2" x14ac:dyDescent="0.3">
      <c r="A12603" s="7" t="str">
        <f>HYPERLINK("http://www.eatonpowersource.com/products/configure/pumps/details/26004-rza","26004-RZA")</f>
        <v>26004-RZA</v>
      </c>
      <c r="B12603" s="8" t="s">
        <v>12169</v>
      </c>
    </row>
    <row r="12604" spans="1:2" x14ac:dyDescent="0.3">
      <c r="A12604" s="9" t="str">
        <f>HYPERLINK("http://www.eatonpowersource.com/products/configure/pumps/details/26004-rzb","26004-RZB")</f>
        <v>26004-RZB</v>
      </c>
      <c r="B12604" s="10" t="s">
        <v>12170</v>
      </c>
    </row>
    <row r="12605" spans="1:2" x14ac:dyDescent="0.3">
      <c r="A12605" s="7" t="str">
        <f>HYPERLINK("http://www.eatonpowersource.com/products/configure/pumps/details/26004-rzc","26004-RZC")</f>
        <v>26004-RZC</v>
      </c>
      <c r="B12605" s="8" t="s">
        <v>12171</v>
      </c>
    </row>
    <row r="12606" spans="1:2" x14ac:dyDescent="0.3">
      <c r="A12606" s="9" t="str">
        <f>HYPERLINK("http://www.eatonpowersource.com/products/configure/pumps/details/26004-rzd","26004-RZD")</f>
        <v>26004-RZD</v>
      </c>
      <c r="B12606" s="10" t="s">
        <v>12172</v>
      </c>
    </row>
    <row r="12607" spans="1:2" x14ac:dyDescent="0.3">
      <c r="A12607" s="7" t="str">
        <f>HYPERLINK("http://www.eatonpowersource.com/products/configure/pumps/details/26004-rzg","26004-RZG")</f>
        <v>26004-RZG</v>
      </c>
      <c r="B12607" s="8" t="s">
        <v>12173</v>
      </c>
    </row>
    <row r="12608" spans="1:2" x14ac:dyDescent="0.3">
      <c r="A12608" s="9" t="str">
        <f>HYPERLINK("http://www.eatonpowersource.com/products/configure/pumps/details/26004-rzj","26004-RZJ")</f>
        <v>26004-RZJ</v>
      </c>
      <c r="B12608" s="10" t="s">
        <v>12174</v>
      </c>
    </row>
    <row r="12609" spans="1:2" x14ac:dyDescent="0.3">
      <c r="A12609" s="7" t="str">
        <f>HYPERLINK("http://www.eatonpowersource.com/products/configure/pumps/details/26004-rzr","26004-RZR")</f>
        <v>26004-RZR</v>
      </c>
      <c r="B12609" s="8" t="s">
        <v>12175</v>
      </c>
    </row>
    <row r="12610" spans="1:2" x14ac:dyDescent="0.3">
      <c r="A12610" s="9" t="str">
        <f>HYPERLINK("http://www.eatonpowersource.com/products/configure/pumps/details/26005-laa","26005-LAA")</f>
        <v>26005-LAA</v>
      </c>
      <c r="B12610" s="10" t="s">
        <v>12176</v>
      </c>
    </row>
    <row r="12611" spans="1:2" x14ac:dyDescent="0.3">
      <c r="A12611" s="7" t="str">
        <f>HYPERLINK("http://www.eatonpowersource.com/products/configure/pumps/details/26005-laj","26005-LAJ")</f>
        <v>26005-LAJ</v>
      </c>
      <c r="B12611" s="8" t="s">
        <v>12177</v>
      </c>
    </row>
    <row r="12612" spans="1:2" x14ac:dyDescent="0.3">
      <c r="A12612" s="9" t="str">
        <f>HYPERLINK("http://www.eatonpowersource.com/products/configure/pumps/details/26005-lam","26005-LAM")</f>
        <v>26005-LAM</v>
      </c>
      <c r="B12612" s="10" t="s">
        <v>12178</v>
      </c>
    </row>
    <row r="12613" spans="1:2" x14ac:dyDescent="0.3">
      <c r="A12613" s="7" t="str">
        <f>HYPERLINK("http://www.eatonpowersource.com/products/configure/pumps/details/26005-lza","26005-LZA")</f>
        <v>26005-LZA</v>
      </c>
      <c r="B12613" s="8" t="s">
        <v>12179</v>
      </c>
    </row>
    <row r="12614" spans="1:2" x14ac:dyDescent="0.3">
      <c r="A12614" s="9" t="str">
        <f>HYPERLINK("http://www.eatonpowersource.com/products/configure/pumps/details/26005-lze","26005-LZE")</f>
        <v>26005-LZE</v>
      </c>
      <c r="B12614" s="10" t="s">
        <v>12180</v>
      </c>
    </row>
    <row r="12615" spans="1:2" x14ac:dyDescent="0.3">
      <c r="A12615" s="7" t="str">
        <f>HYPERLINK("http://www.eatonpowersource.com/products/configure/pumps/details/26005-rad","26005-RAD")</f>
        <v>26005-RAD</v>
      </c>
      <c r="B12615" s="8" t="s">
        <v>12181</v>
      </c>
    </row>
    <row r="12616" spans="1:2" x14ac:dyDescent="0.3">
      <c r="A12616" s="9" t="str">
        <f>HYPERLINK("http://www.eatonpowersource.com/products/configure/pumps/details/26005-raf","26005-RAF")</f>
        <v>26005-RAF</v>
      </c>
      <c r="B12616" s="10" t="s">
        <v>12182</v>
      </c>
    </row>
    <row r="12617" spans="1:2" x14ac:dyDescent="0.3">
      <c r="A12617" s="7" t="str">
        <f>HYPERLINK("http://www.eatonpowersource.com/products/configure/pumps/details/26005-raw","26005-RAW")</f>
        <v>26005-RAW</v>
      </c>
      <c r="B12617" s="8" t="s">
        <v>12183</v>
      </c>
    </row>
    <row r="12618" spans="1:2" x14ac:dyDescent="0.3">
      <c r="A12618" s="9" t="str">
        <f>HYPERLINK("http://www.eatonpowersource.com/products/configure/pumps/details/26005-rbd","26005-RBD")</f>
        <v>26005-RBD</v>
      </c>
      <c r="B12618" s="10" t="s">
        <v>12184</v>
      </c>
    </row>
    <row r="12619" spans="1:2" x14ac:dyDescent="0.3">
      <c r="A12619" s="7" t="str">
        <f>HYPERLINK("http://www.eatonpowersource.com/products/configure/pumps/details/26005-rza","26005-RZA")</f>
        <v>26005-RZA</v>
      </c>
      <c r="B12619" s="8" t="s">
        <v>12185</v>
      </c>
    </row>
    <row r="12620" spans="1:2" x14ac:dyDescent="0.3">
      <c r="A12620" s="9" t="str">
        <f>HYPERLINK("http://www.eatonpowersource.com/products/configure/pumps/details/26005-rzc","26005-RZC")</f>
        <v>26005-RZC</v>
      </c>
      <c r="B12620" s="10" t="s">
        <v>12186</v>
      </c>
    </row>
    <row r="12621" spans="1:2" x14ac:dyDescent="0.3">
      <c r="A12621" s="7" t="str">
        <f>HYPERLINK("http://www.eatonpowersource.com/products/configure/pumps/details/26005-rzd","26005-RZD")</f>
        <v>26005-RZD</v>
      </c>
      <c r="B12621" s="8" t="s">
        <v>12187</v>
      </c>
    </row>
    <row r="12622" spans="1:2" x14ac:dyDescent="0.3">
      <c r="A12622" s="9" t="str">
        <f>HYPERLINK("http://www.eatonpowersource.com/products/configure/pumps/details/26005-rze","26005-RZE")</f>
        <v>26005-RZE</v>
      </c>
      <c r="B12622" s="10" t="s">
        <v>12188</v>
      </c>
    </row>
    <row r="12623" spans="1:2" x14ac:dyDescent="0.3">
      <c r="A12623" s="7" t="str">
        <f>HYPERLINK("http://www.eatonpowersource.com/products/configure/pumps/details/26005-rzg","26005-RZG")</f>
        <v>26005-RZG</v>
      </c>
      <c r="B12623" s="8" t="s">
        <v>12189</v>
      </c>
    </row>
    <row r="12624" spans="1:2" x14ac:dyDescent="0.3">
      <c r="A12624" s="9" t="str">
        <f>HYPERLINK("http://www.eatonpowersource.com/products/configure/pumps/details/26005-rzj","26005-RZJ")</f>
        <v>26005-RZJ</v>
      </c>
      <c r="B12624" s="10" t="s">
        <v>12190</v>
      </c>
    </row>
    <row r="12625" spans="1:2" x14ac:dyDescent="0.3">
      <c r="A12625" s="7" t="str">
        <f>HYPERLINK("http://www.eatonpowersource.com/products/configure/pumps/details/26006-lza","26006-LZA")</f>
        <v>26006-LZA</v>
      </c>
      <c r="B12625" s="8" t="s">
        <v>12191</v>
      </c>
    </row>
    <row r="12626" spans="1:2" x14ac:dyDescent="0.3">
      <c r="A12626" s="9" t="str">
        <f>HYPERLINK("http://www.eatonpowersource.com/products/configure/pumps/details/26006-lzr","26006-LZR")</f>
        <v>26006-LZR</v>
      </c>
      <c r="B12626" s="10" t="s">
        <v>12192</v>
      </c>
    </row>
    <row r="12627" spans="1:2" x14ac:dyDescent="0.3">
      <c r="A12627" s="7" t="str">
        <f>HYPERLINK("http://www.eatonpowersource.com/products/configure/pumps/details/26006-rbb","26006-RBB")</f>
        <v>26006-RBB</v>
      </c>
      <c r="B12627" s="8" t="s">
        <v>12193</v>
      </c>
    </row>
    <row r="12628" spans="1:2" x14ac:dyDescent="0.3">
      <c r="A12628" s="9" t="str">
        <f>HYPERLINK("http://www.eatonpowersource.com/products/configure/pumps/details/26006-rza","26006-RZA")</f>
        <v>26006-RZA</v>
      </c>
      <c r="B12628" s="10" t="s">
        <v>12194</v>
      </c>
    </row>
    <row r="12629" spans="1:2" x14ac:dyDescent="0.3">
      <c r="A12629" s="7" t="str">
        <f>HYPERLINK("http://www.eatonpowersource.com/products/configure/pumps/details/26006-rzb","26006-RZB")</f>
        <v>26006-RZB</v>
      </c>
      <c r="B12629" s="8" t="s">
        <v>12195</v>
      </c>
    </row>
    <row r="12630" spans="1:2" x14ac:dyDescent="0.3">
      <c r="A12630" s="9" t="str">
        <f>HYPERLINK("http://www.eatonpowersource.com/products/configure/pumps/details/26006-rzc","26006-RZC")</f>
        <v>26006-RZC</v>
      </c>
      <c r="B12630" s="10" t="s">
        <v>12196</v>
      </c>
    </row>
    <row r="12631" spans="1:2" x14ac:dyDescent="0.3">
      <c r="A12631" s="7" t="str">
        <f>HYPERLINK("http://www.eatonpowersource.com/products/configure/pumps/details/26006-rze","26006-RZE")</f>
        <v>26006-RZE</v>
      </c>
      <c r="B12631" s="8" t="s">
        <v>12197</v>
      </c>
    </row>
    <row r="12632" spans="1:2" x14ac:dyDescent="0.3">
      <c r="A12632" s="9" t="str">
        <f>HYPERLINK("http://www.eatonpowersource.com/products/configure/pumps/details/26006-rzg","26006-RZG")</f>
        <v>26006-RZG</v>
      </c>
      <c r="B12632" s="10" t="s">
        <v>12198</v>
      </c>
    </row>
    <row r="12633" spans="1:2" x14ac:dyDescent="0.3">
      <c r="A12633" s="7" t="str">
        <f>HYPERLINK("http://www.eatonpowersource.com/products/configure/pumps/details/26006-rzj","26006-RZJ")</f>
        <v>26006-RZJ</v>
      </c>
      <c r="B12633" s="8" t="s">
        <v>12199</v>
      </c>
    </row>
    <row r="12634" spans="1:2" x14ac:dyDescent="0.3">
      <c r="A12634" s="9" t="str">
        <f>HYPERLINK("http://www.eatonpowersource.com/products/configure/pumps/details/26007-lac","26007-LAC")</f>
        <v>26007-LAC</v>
      </c>
      <c r="B12634" s="10" t="s">
        <v>12200</v>
      </c>
    </row>
    <row r="12635" spans="1:2" x14ac:dyDescent="0.3">
      <c r="A12635" s="7" t="str">
        <f>HYPERLINK("http://www.eatonpowersource.com/products/configure/pumps/details/26007-laj","26007-LAJ")</f>
        <v>26007-LAJ</v>
      </c>
      <c r="B12635" s="8" t="s">
        <v>12201</v>
      </c>
    </row>
    <row r="12636" spans="1:2" x14ac:dyDescent="0.3">
      <c r="A12636" s="9" t="str">
        <f>HYPERLINK("http://www.eatonpowersource.com/products/configure/pumps/details/26007-lze","26007-LZE")</f>
        <v>26007-LZE</v>
      </c>
      <c r="B12636" s="10" t="s">
        <v>12202</v>
      </c>
    </row>
    <row r="12637" spans="1:2" x14ac:dyDescent="0.3">
      <c r="A12637" s="7" t="str">
        <f>HYPERLINK("http://www.eatonpowersource.com/products/configure/pumps/details/26007-lzj","26007-LZJ")</f>
        <v>26007-LZJ</v>
      </c>
      <c r="B12637" s="8" t="s">
        <v>12203</v>
      </c>
    </row>
    <row r="12638" spans="1:2" x14ac:dyDescent="0.3">
      <c r="A12638" s="9" t="str">
        <f>HYPERLINK("http://www.eatonpowersource.com/products/configure/pumps/details/26007-raa","26007-RAA")</f>
        <v>26007-RAA</v>
      </c>
      <c r="B12638" s="10" t="s">
        <v>12204</v>
      </c>
    </row>
    <row r="12639" spans="1:2" x14ac:dyDescent="0.3">
      <c r="A12639" s="7" t="str">
        <f>HYPERLINK("http://www.eatonpowersource.com/products/configure/pumps/details/26007-rzc","26007-RZC")</f>
        <v>26007-RZC</v>
      </c>
      <c r="B12639" s="8" t="s">
        <v>12205</v>
      </c>
    </row>
    <row r="12640" spans="1:2" x14ac:dyDescent="0.3">
      <c r="A12640" s="9" t="str">
        <f>HYPERLINK("http://www.eatonpowersource.com/products/configure/pumps/details/26007-rzd","26007-RZD")</f>
        <v>26007-RZD</v>
      </c>
      <c r="B12640" s="10" t="s">
        <v>12206</v>
      </c>
    </row>
    <row r="12641" spans="1:2" x14ac:dyDescent="0.3">
      <c r="A12641" s="7" t="str">
        <f>HYPERLINK("http://www.eatonpowersource.com/products/configure/pumps/details/26007-rze","26007-RZE")</f>
        <v>26007-RZE</v>
      </c>
      <c r="B12641" s="8" t="s">
        <v>12207</v>
      </c>
    </row>
    <row r="12642" spans="1:2" x14ac:dyDescent="0.3">
      <c r="A12642" s="9" t="str">
        <f>HYPERLINK("http://www.eatonpowersource.com/products/configure/pumps/details/26007-rzf","26007-RZF")</f>
        <v>26007-RZF</v>
      </c>
      <c r="B12642" s="10" t="s">
        <v>12208</v>
      </c>
    </row>
    <row r="12643" spans="1:2" x14ac:dyDescent="0.3">
      <c r="A12643" s="7" t="str">
        <f>HYPERLINK("http://www.eatonpowersource.com/products/configure/pumps/details/26007-rzg","26007-RZG")</f>
        <v>26007-RZG</v>
      </c>
      <c r="B12643" s="8" t="s">
        <v>12209</v>
      </c>
    </row>
    <row r="12644" spans="1:2" x14ac:dyDescent="0.3">
      <c r="A12644" s="9" t="str">
        <f>HYPERLINK("http://www.eatonpowersource.com/products/configure/pumps/details/26007-rzj","26007-RZJ")</f>
        <v>26007-RZJ</v>
      </c>
      <c r="B12644" s="10" t="s">
        <v>12210</v>
      </c>
    </row>
    <row r="12645" spans="1:2" x14ac:dyDescent="0.3">
      <c r="A12645" s="7" t="str">
        <f>HYPERLINK("http://www.eatonpowersource.com/products/configure/pumps/details/26008-laa","26008-LAA")</f>
        <v>26008-LAA</v>
      </c>
      <c r="B12645" s="8" t="s">
        <v>12211</v>
      </c>
    </row>
    <row r="12646" spans="1:2" x14ac:dyDescent="0.3">
      <c r="A12646" s="9" t="str">
        <f>HYPERLINK("http://www.eatonpowersource.com/products/configure/pumps/details/26008-lze","26008-LZE")</f>
        <v>26008-LZE</v>
      </c>
      <c r="B12646" s="10" t="s">
        <v>12212</v>
      </c>
    </row>
    <row r="12647" spans="1:2" x14ac:dyDescent="0.3">
      <c r="A12647" s="7" t="str">
        <f>HYPERLINK("http://www.eatonpowersource.com/products/configure/pumps/details/26008-rag","26008-RAG")</f>
        <v>26008-RAG</v>
      </c>
      <c r="B12647" s="8" t="s">
        <v>12213</v>
      </c>
    </row>
    <row r="12648" spans="1:2" x14ac:dyDescent="0.3">
      <c r="A12648" s="9" t="str">
        <f>HYPERLINK("http://www.eatonpowersource.com/products/configure/pumps/details/26008-rza","26008-RZA")</f>
        <v>26008-RZA</v>
      </c>
      <c r="B12648" s="10" t="s">
        <v>12214</v>
      </c>
    </row>
    <row r="12649" spans="1:2" x14ac:dyDescent="0.3">
      <c r="A12649" s="7" t="str">
        <f>HYPERLINK("http://www.eatonpowersource.com/products/configure/pumps/details/26008-rzc","26008-RZC")</f>
        <v>26008-RZC</v>
      </c>
      <c r="B12649" s="8" t="s">
        <v>12215</v>
      </c>
    </row>
    <row r="12650" spans="1:2" x14ac:dyDescent="0.3">
      <c r="A12650" s="9" t="str">
        <f>HYPERLINK("http://www.eatonpowersource.com/products/configure/pumps/details/26008-rze","26008-RZE")</f>
        <v>26008-RZE</v>
      </c>
      <c r="B12650" s="10" t="s">
        <v>12216</v>
      </c>
    </row>
    <row r="12651" spans="1:2" x14ac:dyDescent="0.3">
      <c r="A12651" s="7" t="str">
        <f>HYPERLINK("http://www.eatonpowersource.com/products/configure/pumps/details/26008-rzf","26008-RZF")</f>
        <v>26008-RZF</v>
      </c>
      <c r="B12651" s="8" t="s">
        <v>12217</v>
      </c>
    </row>
    <row r="12652" spans="1:2" x14ac:dyDescent="0.3">
      <c r="A12652" s="9" t="str">
        <f>HYPERLINK("http://www.eatonpowersource.com/products/configure/pumps/details/26008-rzg","26008-RZG")</f>
        <v>26008-RZG</v>
      </c>
      <c r="B12652" s="10" t="s">
        <v>12218</v>
      </c>
    </row>
    <row r="12653" spans="1:2" x14ac:dyDescent="0.3">
      <c r="A12653" s="7" t="str">
        <f>HYPERLINK("http://www.eatonpowersource.com/products/configure/pumps/details/26009-lac","26009-LAC")</f>
        <v>26009-LAC</v>
      </c>
      <c r="B12653" s="8" t="s">
        <v>12219</v>
      </c>
    </row>
    <row r="12654" spans="1:2" x14ac:dyDescent="0.3">
      <c r="A12654" s="9" t="str">
        <f>HYPERLINK("http://www.eatonpowersource.com/products/configure/pumps/details/26009-lan","26009-LAN")</f>
        <v>26009-LAN</v>
      </c>
      <c r="B12654" s="10" t="s">
        <v>12220</v>
      </c>
    </row>
    <row r="12655" spans="1:2" x14ac:dyDescent="0.3">
      <c r="A12655" s="7" t="str">
        <f>HYPERLINK("http://www.eatonpowersource.com/products/configure/pumps/details/26009-lzg","26009-LZG")</f>
        <v>26009-LZG</v>
      </c>
      <c r="B12655" s="8" t="s">
        <v>12221</v>
      </c>
    </row>
    <row r="12656" spans="1:2" x14ac:dyDescent="0.3">
      <c r="A12656" s="9" t="str">
        <f>HYPERLINK("http://www.eatonpowersource.com/products/configure/pumps/details/26009-rab","26009-RAB")</f>
        <v>26009-RAB</v>
      </c>
      <c r="B12656" s="10" t="s">
        <v>12222</v>
      </c>
    </row>
    <row r="12657" spans="1:2" x14ac:dyDescent="0.3">
      <c r="A12657" s="7" t="str">
        <f>HYPERLINK("http://www.eatonpowersource.com/products/configure/pumps/details/26009-rae","26009-RAE")</f>
        <v>26009-RAE</v>
      </c>
      <c r="B12657" s="8" t="s">
        <v>12223</v>
      </c>
    </row>
    <row r="12658" spans="1:2" x14ac:dyDescent="0.3">
      <c r="A12658" s="9" t="str">
        <f>HYPERLINK("http://www.eatonpowersource.com/products/configure/pumps/details/26009-rat","26009-RAT")</f>
        <v>26009-RAT</v>
      </c>
      <c r="B12658" s="10" t="s">
        <v>12224</v>
      </c>
    </row>
    <row r="12659" spans="1:2" x14ac:dyDescent="0.3">
      <c r="A12659" s="7" t="str">
        <f>HYPERLINK("http://www.eatonpowersource.com/products/configure/pumps/details/26009-rzg","26009-RZG")</f>
        <v>26009-RZG</v>
      </c>
      <c r="B12659" s="8" t="s">
        <v>12225</v>
      </c>
    </row>
    <row r="12660" spans="1:2" x14ac:dyDescent="0.3">
      <c r="A12660" s="9" t="str">
        <f>HYPERLINK("http://www.eatonpowersource.com/products/configure/pumps/details/26009-rzj","26009-RZJ")</f>
        <v>26009-RZJ</v>
      </c>
      <c r="B12660" s="10" t="s">
        <v>12226</v>
      </c>
    </row>
    <row r="12661" spans="1:2" x14ac:dyDescent="0.3">
      <c r="A12661" s="7" t="str">
        <f>HYPERLINK("http://www.eatonpowersource.com/products/configure/pumps/details/26010-lzb","26010-LZB")</f>
        <v>26010-LZB</v>
      </c>
      <c r="B12661" s="8" t="s">
        <v>12227</v>
      </c>
    </row>
    <row r="12662" spans="1:2" x14ac:dyDescent="0.3">
      <c r="A12662" s="9" t="str">
        <f>HYPERLINK("http://www.eatonpowersource.com/products/configure/pumps/details/26010-lzc","26010-LZC")</f>
        <v>26010-LZC</v>
      </c>
      <c r="B12662" s="10" t="s">
        <v>12228</v>
      </c>
    </row>
    <row r="12663" spans="1:2" x14ac:dyDescent="0.3">
      <c r="A12663" s="7" t="str">
        <f>HYPERLINK("http://www.eatonpowersource.com/products/configure/pumps/details/26010-rad","26010-RAD")</f>
        <v>26010-RAD</v>
      </c>
      <c r="B12663" s="8" t="s">
        <v>12229</v>
      </c>
    </row>
    <row r="12664" spans="1:2" x14ac:dyDescent="0.3">
      <c r="A12664" s="9" t="str">
        <f>HYPERLINK("http://www.eatonpowersource.com/products/configure/pumps/details/26010-rah","26010-RAH")</f>
        <v>26010-RAH</v>
      </c>
      <c r="B12664" s="10" t="s">
        <v>12230</v>
      </c>
    </row>
    <row r="12665" spans="1:2" x14ac:dyDescent="0.3">
      <c r="A12665" s="7" t="str">
        <f>HYPERLINK("http://www.eatonpowersource.com/products/configure/pumps/details/26010-ras","26010-RAS")</f>
        <v>26010-RAS</v>
      </c>
      <c r="B12665" s="8" t="s">
        <v>12231</v>
      </c>
    </row>
    <row r="12666" spans="1:2" x14ac:dyDescent="0.3">
      <c r="A12666" s="9" t="str">
        <f>HYPERLINK("http://www.eatonpowersource.com/products/configure/pumps/details/26010-rza","26010-RZA")</f>
        <v>26010-RZA</v>
      </c>
      <c r="B12666" s="10" t="s">
        <v>12232</v>
      </c>
    </row>
    <row r="12667" spans="1:2" x14ac:dyDescent="0.3">
      <c r="A12667" s="7" t="str">
        <f>HYPERLINK("http://www.eatonpowersource.com/products/configure/pumps/details/26010-rzb","26010-RZB")</f>
        <v>26010-RZB</v>
      </c>
      <c r="B12667" s="8" t="s">
        <v>12233</v>
      </c>
    </row>
    <row r="12668" spans="1:2" x14ac:dyDescent="0.3">
      <c r="A12668" s="9" t="str">
        <f>HYPERLINK("http://www.eatonpowersource.com/products/configure/pumps/details/26010-rzc","26010-RZC")</f>
        <v>26010-RZC</v>
      </c>
      <c r="B12668" s="10" t="s">
        <v>12234</v>
      </c>
    </row>
    <row r="12669" spans="1:2" x14ac:dyDescent="0.3">
      <c r="A12669" s="7" t="str">
        <f>HYPERLINK("http://www.eatonpowersource.com/products/configure/pumps/details/26010-rze","26010-RZE")</f>
        <v>26010-RZE</v>
      </c>
      <c r="B12669" s="8" t="s">
        <v>12235</v>
      </c>
    </row>
    <row r="12670" spans="1:2" x14ac:dyDescent="0.3">
      <c r="A12670" s="9" t="str">
        <f>HYPERLINK("http://www.eatonpowersource.com/products/configure/pumps/details/26010-rzn","26010-RZN")</f>
        <v>26010-RZN</v>
      </c>
      <c r="B12670" s="10" t="s">
        <v>12236</v>
      </c>
    </row>
    <row r="12671" spans="1:2" x14ac:dyDescent="0.3">
      <c r="A12671" s="7" t="str">
        <f>HYPERLINK("http://www.eatonpowersource.com/products/configure/pumps/details/26010-rzs","26010-RZS")</f>
        <v>26010-RZS</v>
      </c>
      <c r="B12671" s="8" t="s">
        <v>12237</v>
      </c>
    </row>
    <row r="12672" spans="1:2" x14ac:dyDescent="0.3">
      <c r="A12672" s="9" t="str">
        <f>HYPERLINK("http://www.eatonpowersource.com/products/configure/pumps/details/26011-lza","26011-LZA")</f>
        <v>26011-LZA</v>
      </c>
      <c r="B12672" s="10" t="s">
        <v>12238</v>
      </c>
    </row>
    <row r="12673" spans="1:2" x14ac:dyDescent="0.3">
      <c r="A12673" s="7" t="str">
        <f>HYPERLINK("http://www.eatonpowersource.com/products/configure/pumps/details/26011-r01","26011-R01")</f>
        <v>26011-R01</v>
      </c>
      <c r="B12673" s="8" t="s">
        <v>12239</v>
      </c>
    </row>
    <row r="12674" spans="1:2" x14ac:dyDescent="0.3">
      <c r="A12674" s="9" t="str">
        <f>HYPERLINK("http://www.eatonpowersource.com/products/configure/pumps/details/26011-raa","26011-RAA")</f>
        <v>26011-RAA</v>
      </c>
      <c r="B12674" s="10" t="s">
        <v>12240</v>
      </c>
    </row>
    <row r="12675" spans="1:2" x14ac:dyDescent="0.3">
      <c r="A12675" s="7" t="str">
        <f>HYPERLINK("http://www.eatonpowersource.com/products/configure/pumps/details/26011-raf","26011-RAF")</f>
        <v>26011-RAF</v>
      </c>
      <c r="B12675" s="8" t="s">
        <v>12241</v>
      </c>
    </row>
    <row r="12676" spans="1:2" x14ac:dyDescent="0.3">
      <c r="A12676" s="9" t="str">
        <f>HYPERLINK("http://www.eatonpowersource.com/products/configure/pumps/details/26011-rza","26011-RZA")</f>
        <v>26011-RZA</v>
      </c>
      <c r="B12676" s="10" t="s">
        <v>12242</v>
      </c>
    </row>
    <row r="12677" spans="1:2" x14ac:dyDescent="0.3">
      <c r="A12677" s="7" t="str">
        <f>HYPERLINK("http://www.eatonpowersource.com/products/configure/pumps/details/26011-rzc","26011-RZC")</f>
        <v>26011-RZC</v>
      </c>
      <c r="B12677" s="8" t="s">
        <v>12243</v>
      </c>
    </row>
    <row r="12678" spans="1:2" x14ac:dyDescent="0.3">
      <c r="A12678" s="9" t="str">
        <f>HYPERLINK("http://www.eatonpowersource.com/products/configure/pumps/details/26011-rze","26011-RZE")</f>
        <v>26011-RZE</v>
      </c>
      <c r="B12678" s="10" t="s">
        <v>12244</v>
      </c>
    </row>
    <row r="12679" spans="1:2" x14ac:dyDescent="0.3">
      <c r="A12679" s="7" t="str">
        <f>HYPERLINK("http://www.eatonpowersource.com/products/configure/pumps/details/26012-lae","26012-LAE")</f>
        <v>26012-LAE</v>
      </c>
      <c r="B12679" s="8" t="s">
        <v>12245</v>
      </c>
    </row>
    <row r="12680" spans="1:2" x14ac:dyDescent="0.3">
      <c r="A12680" s="9" t="str">
        <f>HYPERLINK("http://www.eatonpowersource.com/products/configure/pumps/details/26012-laf","26012-LAF")</f>
        <v>26012-LAF</v>
      </c>
      <c r="B12680" s="10" t="s">
        <v>12246</v>
      </c>
    </row>
    <row r="12681" spans="1:2" x14ac:dyDescent="0.3">
      <c r="A12681" s="7" t="str">
        <f>HYPERLINK("http://www.eatonpowersource.com/products/configure/pumps/details/26012-lam","26012-LAM")</f>
        <v>26012-LAM</v>
      </c>
      <c r="B12681" s="8" t="s">
        <v>12247</v>
      </c>
    </row>
    <row r="12682" spans="1:2" x14ac:dyDescent="0.3">
      <c r="A12682" s="9" t="str">
        <f>HYPERLINK("http://www.eatonpowersource.com/products/configure/pumps/details/26012-lzj","26012-LZJ")</f>
        <v>26012-LZJ</v>
      </c>
      <c r="B12682" s="10" t="s">
        <v>12248</v>
      </c>
    </row>
    <row r="12683" spans="1:2" x14ac:dyDescent="0.3">
      <c r="A12683" s="7" t="str">
        <f>HYPERLINK("http://www.eatonpowersource.com/products/configure/pumps/details/26012-lzk","26012-LZK")</f>
        <v>26012-LZK</v>
      </c>
      <c r="B12683" s="8" t="s">
        <v>12249</v>
      </c>
    </row>
    <row r="12684" spans="1:2" x14ac:dyDescent="0.3">
      <c r="A12684" s="9" t="str">
        <f>HYPERLINK("http://www.eatonpowersource.com/products/configure/pumps/details/26012-rap","26012-RAP")</f>
        <v>26012-RAP</v>
      </c>
      <c r="B12684" s="10" t="s">
        <v>12250</v>
      </c>
    </row>
    <row r="12685" spans="1:2" x14ac:dyDescent="0.3">
      <c r="A12685" s="7" t="str">
        <f>HYPERLINK("http://www.eatonpowersource.com/products/configure/pumps/details/26012-rza","26012-RZA")</f>
        <v>26012-RZA</v>
      </c>
      <c r="B12685" s="8" t="s">
        <v>12251</v>
      </c>
    </row>
    <row r="12686" spans="1:2" x14ac:dyDescent="0.3">
      <c r="A12686" s="9" t="str">
        <f>HYPERLINK("http://www.eatonpowersource.com/products/configure/pumps/details/26012-rzg","26012-RZG")</f>
        <v>26012-RZG</v>
      </c>
      <c r="B12686" s="10" t="s">
        <v>12252</v>
      </c>
    </row>
    <row r="12687" spans="1:2" x14ac:dyDescent="0.3">
      <c r="A12687" s="7" t="str">
        <f>HYPERLINK("http://www.eatonpowersource.com/products/configure/pumps/details/26012-rzj","26012-RZJ")</f>
        <v>26012-RZJ</v>
      </c>
      <c r="B12687" s="8" t="s">
        <v>12253</v>
      </c>
    </row>
    <row r="12688" spans="1:2" x14ac:dyDescent="0.3">
      <c r="A12688" s="9" t="str">
        <f>HYPERLINK("http://www.eatonpowersource.com/products/configure/pumps/details/26013-lza","26013-LZA")</f>
        <v>26013-LZA</v>
      </c>
      <c r="B12688" s="10" t="s">
        <v>12254</v>
      </c>
    </row>
    <row r="12689" spans="1:2" x14ac:dyDescent="0.3">
      <c r="A12689" s="7" t="str">
        <f>HYPERLINK("http://www.eatonpowersource.com/products/configure/pumps/details/26013-lzb","26013-LZB")</f>
        <v>26013-LZB</v>
      </c>
      <c r="B12689" s="8" t="s">
        <v>12255</v>
      </c>
    </row>
    <row r="12690" spans="1:2" x14ac:dyDescent="0.3">
      <c r="A12690" s="9" t="str">
        <f>HYPERLINK("http://www.eatonpowersource.com/products/configure/pumps/details/26013-lzc","26013-LZC")</f>
        <v>26013-LZC</v>
      </c>
      <c r="B12690" s="10" t="s">
        <v>12256</v>
      </c>
    </row>
    <row r="12691" spans="1:2" x14ac:dyDescent="0.3">
      <c r="A12691" s="7" t="str">
        <f>HYPERLINK("http://www.eatonpowersource.com/products/configure/pumps/details/26013-lzf","26013-LZF")</f>
        <v>26013-LZF</v>
      </c>
      <c r="B12691" s="8" t="s">
        <v>12257</v>
      </c>
    </row>
    <row r="12692" spans="1:2" x14ac:dyDescent="0.3">
      <c r="A12692" s="9" t="str">
        <f>HYPERLINK("http://www.eatonpowersource.com/products/configure/pumps/details/26013-rab","26013-RAB")</f>
        <v>26013-RAB</v>
      </c>
      <c r="B12692" s="10" t="s">
        <v>12258</v>
      </c>
    </row>
    <row r="12693" spans="1:2" x14ac:dyDescent="0.3">
      <c r="A12693" s="7" t="str">
        <f>HYPERLINK("http://www.eatonpowersource.com/products/configure/pumps/details/26013-rac","26013-RAC")</f>
        <v>26013-RAC</v>
      </c>
      <c r="B12693" s="8" t="s">
        <v>12259</v>
      </c>
    </row>
    <row r="12694" spans="1:2" x14ac:dyDescent="0.3">
      <c r="A12694" s="9" t="str">
        <f>HYPERLINK("http://www.eatonpowersource.com/products/configure/pumps/details/26013-rag","26013-RAG")</f>
        <v>26013-RAG</v>
      </c>
      <c r="B12694" s="10" t="s">
        <v>12260</v>
      </c>
    </row>
    <row r="12695" spans="1:2" x14ac:dyDescent="0.3">
      <c r="A12695" s="7" t="str">
        <f>HYPERLINK("http://www.eatonpowersource.com/products/configure/pumps/details/26013-rza","26013-RZA")</f>
        <v>26013-RZA</v>
      </c>
      <c r="B12695" s="8" t="s">
        <v>12261</v>
      </c>
    </row>
    <row r="12696" spans="1:2" x14ac:dyDescent="0.3">
      <c r="A12696" s="9" t="str">
        <f>HYPERLINK("http://www.eatonpowersource.com/products/configure/pumps/details/26013-rzb","26013-RZB")</f>
        <v>26013-RZB</v>
      </c>
      <c r="B12696" s="10" t="s">
        <v>12262</v>
      </c>
    </row>
    <row r="12697" spans="1:2" x14ac:dyDescent="0.3">
      <c r="A12697" s="7" t="str">
        <f>HYPERLINK("http://www.eatonpowersource.com/products/configure/pumps/details/26013-rzc","26013-RZC")</f>
        <v>26013-RZC</v>
      </c>
      <c r="B12697" s="8" t="s">
        <v>12263</v>
      </c>
    </row>
    <row r="12698" spans="1:2" x14ac:dyDescent="0.3">
      <c r="A12698" s="9" t="str">
        <f>HYPERLINK("http://www.eatonpowersource.com/products/configure/pumps/details/26013-rze","26013-RZE")</f>
        <v>26013-RZE</v>
      </c>
      <c r="B12698" s="10" t="s">
        <v>12264</v>
      </c>
    </row>
    <row r="12699" spans="1:2" x14ac:dyDescent="0.3">
      <c r="A12699" s="7" t="str">
        <f>HYPERLINK("http://www.eatonpowersource.com/products/configure/pumps/details/26013-rzf","26013-RZF")</f>
        <v>26013-RZF</v>
      </c>
      <c r="B12699" s="8" t="s">
        <v>12265</v>
      </c>
    </row>
    <row r="12700" spans="1:2" x14ac:dyDescent="0.3">
      <c r="A12700" s="9" t="str">
        <f>HYPERLINK("http://www.eatonpowersource.com/products/configure/pumps/details/26015-lad","26015-LAD")</f>
        <v>26015-LAD</v>
      </c>
      <c r="B12700" s="10" t="s">
        <v>12266</v>
      </c>
    </row>
    <row r="12701" spans="1:2" x14ac:dyDescent="0.3">
      <c r="A12701" s="7" t="str">
        <f>HYPERLINK("http://www.eatonpowersource.com/products/configure/pumps/details/26016-lak","26016-LAK")</f>
        <v>26016-LAK</v>
      </c>
      <c r="B12701" s="8" t="s">
        <v>12267</v>
      </c>
    </row>
    <row r="12702" spans="1:2" x14ac:dyDescent="0.3">
      <c r="A12702" s="9" t="str">
        <f>HYPERLINK("http://www.eatonpowersource.com/products/configure/pumps/details/26016-lal","26016-LAL")</f>
        <v>26016-LAL</v>
      </c>
      <c r="B12702" s="10" t="s">
        <v>12268</v>
      </c>
    </row>
    <row r="12703" spans="1:2" x14ac:dyDescent="0.3">
      <c r="A12703" s="7" t="str">
        <f>HYPERLINK("http://www.eatonpowersource.com/products/configure/pumps/details/26016-rak","26016-RAK")</f>
        <v>26016-RAK</v>
      </c>
      <c r="B12703" s="8" t="s">
        <v>12269</v>
      </c>
    </row>
    <row r="12704" spans="1:2" x14ac:dyDescent="0.3">
      <c r="A12704" s="9" t="str">
        <f>HYPERLINK("http://www.eatonpowersource.com/products/configure/pumps/details/26107-rac","26107-RAC")</f>
        <v>26107-RAC</v>
      </c>
      <c r="B12704" s="10" t="s">
        <v>12270</v>
      </c>
    </row>
    <row r="12705" spans="1:2" x14ac:dyDescent="0.3">
      <c r="A12705" s="7" t="str">
        <f>HYPERLINK("http://www.eatonpowersource.com/products/configure/pumps/details/26206-lan","26206-LAN")</f>
        <v>26206-LAN</v>
      </c>
      <c r="B12705" s="8" t="s">
        <v>12271</v>
      </c>
    </row>
    <row r="12706" spans="1:2" x14ac:dyDescent="0.3">
      <c r="A12706" s="9" t="str">
        <f>HYPERLINK("http://www.eatonpowersource.com/products/configure/pumps/details/26210-raa","26210-RAA")</f>
        <v>26210-RAA</v>
      </c>
      <c r="B12706" s="10" t="s">
        <v>12272</v>
      </c>
    </row>
    <row r="12707" spans="1:2" x14ac:dyDescent="0.3">
      <c r="A12707" s="7" t="str">
        <f>HYPERLINK("http://www.eatonpowersource.com/products/configure/pumps/details/26211-lad","26211-LAD")</f>
        <v>26211-LAD</v>
      </c>
      <c r="B12707" s="8" t="s">
        <v>12273</v>
      </c>
    </row>
    <row r="12708" spans="1:2" x14ac:dyDescent="0.3">
      <c r="A12708" s="9" t="str">
        <f>HYPERLINK("http://www.eatonpowersource.com/products/configure/pumps/details/26211-rab","26211-RAB")</f>
        <v>26211-RAB</v>
      </c>
      <c r="B12708" s="10" t="s">
        <v>12274</v>
      </c>
    </row>
    <row r="12709" spans="1:2" x14ac:dyDescent="0.3">
      <c r="A12709" s="7" t="str">
        <f>HYPERLINK("http://www.eatonpowersource.com/products/configure/pumps/details/26212-laa","26212-LAA")</f>
        <v>26212-LAA</v>
      </c>
      <c r="B12709" s="8" t="s">
        <v>12275</v>
      </c>
    </row>
    <row r="12710" spans="1:2" x14ac:dyDescent="0.3">
      <c r="A12710" s="9" t="str">
        <f>HYPERLINK("http://www.eatonpowersource.com/products/configure/pumps/details/26306-rac","26306-RAC")</f>
        <v>26306-RAC</v>
      </c>
      <c r="B12710" s="10" t="s">
        <v>12276</v>
      </c>
    </row>
    <row r="12711" spans="1:2" x14ac:dyDescent="0.3">
      <c r="A12711" s="7" t="str">
        <f>HYPERLINK("http://www.eatonpowersource.com/products/configure/pumps/details/26307-rad","26307-RAD")</f>
        <v>26307-RAD</v>
      </c>
      <c r="B12711" s="8" t="s">
        <v>12277</v>
      </c>
    </row>
    <row r="12712" spans="1:2" x14ac:dyDescent="0.3">
      <c r="A12712" s="9" t="str">
        <f>HYPERLINK("http://www.eatonpowersource.com/products/configure/pumps/details/26307-rag","26307-RAG")</f>
        <v>26307-RAG</v>
      </c>
      <c r="B12712" s="10" t="s">
        <v>12278</v>
      </c>
    </row>
    <row r="12713" spans="1:2" x14ac:dyDescent="0.3">
      <c r="A12713" s="7" t="str">
        <f>HYPERLINK("http://www.eatonpowersource.com/products/configure/pumps/details/26313-raa","26313-RAA")</f>
        <v>26313-RAA</v>
      </c>
      <c r="B12713" s="8" t="s">
        <v>12279</v>
      </c>
    </row>
    <row r="12714" spans="1:2" x14ac:dyDescent="0.3">
      <c r="A12714" s="9" t="str">
        <f>HYPERLINK("http://www.eatonpowersource.com/products/configure/pumps/details/26404-rab","26404-RAB")</f>
        <v>26404-RAB</v>
      </c>
      <c r="B12714" s="10" t="s">
        <v>12280</v>
      </c>
    </row>
    <row r="12715" spans="1:2" x14ac:dyDescent="0.3">
      <c r="A12715" s="7" t="str">
        <f>HYPERLINK("http://www.eatonpowersource.com/products/configure/pumps/details/26501-rak","26501-RAK")</f>
        <v>26501-RAK</v>
      </c>
      <c r="B12715" s="8" t="s">
        <v>12281</v>
      </c>
    </row>
    <row r="12716" spans="1:2" x14ac:dyDescent="0.3">
      <c r="A12716" s="9" t="str">
        <f>HYPERLINK("http://www.eatonpowersource.com/products/configure/pumps/details/26502-laj","26502-LAJ")</f>
        <v>26502-LAJ</v>
      </c>
      <c r="B12716" s="10" t="s">
        <v>12282</v>
      </c>
    </row>
    <row r="12717" spans="1:2" x14ac:dyDescent="0.3">
      <c r="A12717" s="7" t="str">
        <f>HYPERLINK("http://www.eatonpowersource.com/products/configure/pumps/details/26502-lar","26502-LAR")</f>
        <v>26502-LAR</v>
      </c>
      <c r="B12717" s="8" t="s">
        <v>12283</v>
      </c>
    </row>
    <row r="12718" spans="1:2" x14ac:dyDescent="0.3">
      <c r="A12718" s="9" t="str">
        <f>HYPERLINK("http://www.eatonpowersource.com/products/configure/pumps/details/26502-raj","26502-RAJ")</f>
        <v>26502-RAJ</v>
      </c>
      <c r="B12718" s="10" t="s">
        <v>12284</v>
      </c>
    </row>
    <row r="12719" spans="1:2" x14ac:dyDescent="0.3">
      <c r="A12719" s="7" t="str">
        <f>HYPERLINK("http://www.eatonpowersource.com/products/configure/pumps/details/26502-ray","26502-RAY")</f>
        <v>26502-RAY</v>
      </c>
      <c r="B12719" s="8" t="s">
        <v>12285</v>
      </c>
    </row>
    <row r="12720" spans="1:2" x14ac:dyDescent="0.3">
      <c r="A12720" s="9" t="str">
        <f>HYPERLINK("http://www.eatonpowersource.com/products/configure/pumps/details/26503-rab","26503-RAB")</f>
        <v>26503-RAB</v>
      </c>
      <c r="B12720" s="10" t="s">
        <v>12286</v>
      </c>
    </row>
    <row r="12721" spans="1:2" x14ac:dyDescent="0.3">
      <c r="A12721" s="7" t="str">
        <f>HYPERLINK("http://www.eatonpowersource.com/products/configure/pumps/details/26504-lab","26504-LAB")</f>
        <v>26504-LAB</v>
      </c>
      <c r="B12721" s="8" t="s">
        <v>12287</v>
      </c>
    </row>
    <row r="12722" spans="1:2" x14ac:dyDescent="0.3">
      <c r="A12722" s="9" t="str">
        <f>HYPERLINK("http://www.eatonpowersource.com/products/configure/pumps/details/26504-rbf","26504-RBF")</f>
        <v>26504-RBF</v>
      </c>
      <c r="B12722" s="10" t="s">
        <v>12288</v>
      </c>
    </row>
    <row r="12723" spans="1:2" x14ac:dyDescent="0.3">
      <c r="A12723" s="7" t="str">
        <f>HYPERLINK("http://www.eatonpowersource.com/products/configure/pumps/details/26504-rcd","26504-RCD")</f>
        <v>26504-RCD</v>
      </c>
      <c r="B12723" s="8" t="s">
        <v>12289</v>
      </c>
    </row>
    <row r="12724" spans="1:2" x14ac:dyDescent="0.3">
      <c r="A12724" s="9" t="str">
        <f>HYPERLINK("http://www.eatonpowersource.com/products/configure/pumps/details/26504-rce","26504-RCE")</f>
        <v>26504-RCE</v>
      </c>
      <c r="B12724" s="10" t="s">
        <v>12290</v>
      </c>
    </row>
    <row r="12725" spans="1:2" x14ac:dyDescent="0.3">
      <c r="A12725" s="7" t="str">
        <f>HYPERLINK("http://www.eatonpowersource.com/products/configure/pumps/details/26504-rdb","26504-RDB")</f>
        <v>26504-RDB</v>
      </c>
      <c r="B12725" s="8" t="s">
        <v>12291</v>
      </c>
    </row>
    <row r="12726" spans="1:2" x14ac:dyDescent="0.3">
      <c r="A12726" s="9" t="str">
        <f>HYPERLINK("http://www.eatonpowersource.com/products/configure/pumps/details/26505-lam","26505-LAM")</f>
        <v>26505-LAM</v>
      </c>
      <c r="B12726" s="10" t="s">
        <v>12292</v>
      </c>
    </row>
    <row r="12727" spans="1:2" x14ac:dyDescent="0.3">
      <c r="A12727" s="7" t="str">
        <f>HYPERLINK("http://www.eatonpowersource.com/products/configure/pumps/details/26505-raf","26505-RAF")</f>
        <v>26505-RAF</v>
      </c>
      <c r="B12727" s="8" t="s">
        <v>12293</v>
      </c>
    </row>
    <row r="12728" spans="1:2" x14ac:dyDescent="0.3">
      <c r="A12728" s="9" t="str">
        <f>HYPERLINK("http://www.eatonpowersource.com/products/configure/pumps/details/26505-rbg","26505-RBG")</f>
        <v>26505-RBG</v>
      </c>
      <c r="B12728" s="10" t="s">
        <v>12294</v>
      </c>
    </row>
    <row r="12729" spans="1:2" x14ac:dyDescent="0.3">
      <c r="A12729" s="7" t="str">
        <f>HYPERLINK("http://www.eatonpowersource.com/products/configure/pumps/details/26505-rdb","26505-RDB")</f>
        <v>26505-RDB</v>
      </c>
      <c r="B12729" s="8" t="s">
        <v>12295</v>
      </c>
    </row>
    <row r="12730" spans="1:2" x14ac:dyDescent="0.3">
      <c r="A12730" s="9" t="str">
        <f>HYPERLINK("http://www.eatonpowersource.com/products/configure/pumps/details/26506-lar","26506-LAR")</f>
        <v>26506-LAR</v>
      </c>
      <c r="B12730" s="10" t="s">
        <v>12296</v>
      </c>
    </row>
    <row r="12731" spans="1:2" x14ac:dyDescent="0.3">
      <c r="A12731" s="7" t="str">
        <f>HYPERLINK("http://www.eatonpowersource.com/products/configure/pumps/details/26506-ran","26506-RAN")</f>
        <v>26506-RAN</v>
      </c>
      <c r="B12731" s="8" t="s">
        <v>12297</v>
      </c>
    </row>
    <row r="12732" spans="1:2" x14ac:dyDescent="0.3">
      <c r="A12732" s="9" t="str">
        <f>HYPERLINK("http://www.eatonpowersource.com/products/configure/pumps/details/26506-rbv","26506-RBV")</f>
        <v>26506-RBV</v>
      </c>
      <c r="B12732" s="10" t="s">
        <v>12298</v>
      </c>
    </row>
    <row r="12733" spans="1:2" x14ac:dyDescent="0.3">
      <c r="A12733" s="7" t="str">
        <f>HYPERLINK("http://www.eatonpowersource.com/products/configure/pumps/details/26506-rcf","26506-RCF")</f>
        <v>26506-RCF</v>
      </c>
      <c r="B12733" s="8" t="s">
        <v>12299</v>
      </c>
    </row>
    <row r="12734" spans="1:2" x14ac:dyDescent="0.3">
      <c r="A12734" s="9" t="str">
        <f>HYPERLINK("http://www.eatonpowersource.com/products/configure/pumps/details/26507-las","26507-LAS")</f>
        <v>26507-LAS</v>
      </c>
      <c r="B12734" s="10" t="s">
        <v>12300</v>
      </c>
    </row>
    <row r="12735" spans="1:2" x14ac:dyDescent="0.3">
      <c r="A12735" s="7" t="str">
        <f>HYPERLINK("http://www.eatonpowersource.com/products/configure/pumps/details/26507-rcp","26507-RCP")</f>
        <v>26507-RCP</v>
      </c>
      <c r="B12735" s="8" t="s">
        <v>12301</v>
      </c>
    </row>
    <row r="12736" spans="1:2" x14ac:dyDescent="0.3">
      <c r="A12736" s="9" t="str">
        <f>HYPERLINK("http://www.eatonpowersource.com/products/configure/pumps/details/26507-rcs","26507-RCS")</f>
        <v>26507-RCS</v>
      </c>
      <c r="B12736" s="10" t="s">
        <v>12302</v>
      </c>
    </row>
    <row r="12737" spans="1:2" x14ac:dyDescent="0.3">
      <c r="A12737" s="7" t="str">
        <f>HYPERLINK("http://www.eatonpowersource.com/products/configure/pumps/details/26507-rdw","26507-RDW")</f>
        <v>26507-RDW</v>
      </c>
      <c r="B12737" s="8" t="s">
        <v>12303</v>
      </c>
    </row>
    <row r="12738" spans="1:2" x14ac:dyDescent="0.3">
      <c r="A12738" s="9" t="str">
        <f>HYPERLINK("http://www.eatonpowersource.com/products/configure/pumps/details/26508-rae","26508-RAE")</f>
        <v>26508-RAE</v>
      </c>
      <c r="B12738" s="10" t="s">
        <v>12304</v>
      </c>
    </row>
    <row r="12739" spans="1:2" x14ac:dyDescent="0.3">
      <c r="A12739" s="7" t="str">
        <f>HYPERLINK("http://www.eatonpowersource.com/products/configure/pumps/details/26508-rag","26508-RAG")</f>
        <v>26508-RAG</v>
      </c>
      <c r="B12739" s="8" t="s">
        <v>12305</v>
      </c>
    </row>
    <row r="12740" spans="1:2" x14ac:dyDescent="0.3">
      <c r="A12740" s="9" t="str">
        <f>HYPERLINK("http://www.eatonpowersource.com/products/configure/pumps/details/26508-rbh","26508-RBH")</f>
        <v>26508-RBH</v>
      </c>
      <c r="B12740" s="10" t="s">
        <v>12306</v>
      </c>
    </row>
    <row r="12741" spans="1:2" x14ac:dyDescent="0.3">
      <c r="A12741" s="7" t="str">
        <f>HYPERLINK("http://www.eatonpowersource.com/products/configure/pumps/details/26510-rac","26510-RAC")</f>
        <v>26510-RAC</v>
      </c>
      <c r="B12741" s="8" t="s">
        <v>12307</v>
      </c>
    </row>
    <row r="12742" spans="1:2" x14ac:dyDescent="0.3">
      <c r="A12742" s="9" t="str">
        <f>HYPERLINK("http://www.eatonpowersource.com/products/configure/pumps/details/26510-ram","26510-RAM")</f>
        <v>26510-RAM</v>
      </c>
      <c r="B12742" s="10" t="s">
        <v>12308</v>
      </c>
    </row>
    <row r="12743" spans="1:2" x14ac:dyDescent="0.3">
      <c r="A12743" s="7" t="str">
        <f>HYPERLINK("http://www.eatonpowersource.com/products/configure/pumps/details/26510-ray","26510-RAY")</f>
        <v>26510-RAY</v>
      </c>
      <c r="B12743" s="8" t="s">
        <v>12309</v>
      </c>
    </row>
    <row r="12744" spans="1:2" x14ac:dyDescent="0.3">
      <c r="A12744" s="9" t="str">
        <f>HYPERLINK("http://www.eatonpowersource.com/products/configure/pumps/details/26512-raa","26512-RAA")</f>
        <v>26512-RAA</v>
      </c>
      <c r="B12744" s="10" t="s">
        <v>12310</v>
      </c>
    </row>
    <row r="12745" spans="1:2" x14ac:dyDescent="0.3">
      <c r="A12745" s="7" t="str">
        <f>HYPERLINK("http://www.eatonpowersource.com/products/configure/pumps/details/26512-rae","26512-RAE")</f>
        <v>26512-RAE</v>
      </c>
      <c r="B12745" s="8" t="s">
        <v>12311</v>
      </c>
    </row>
    <row r="12746" spans="1:2" x14ac:dyDescent="0.3">
      <c r="A12746" s="9" t="str">
        <f>HYPERLINK("http://www.eatonpowersource.com/products/configure/pumps/details/26514-rah","26514-RAH")</f>
        <v>26514-RAH</v>
      </c>
      <c r="B12746" s="10" t="s">
        <v>12312</v>
      </c>
    </row>
    <row r="12747" spans="1:2" x14ac:dyDescent="0.3">
      <c r="A12747" s="7" t="str">
        <f>HYPERLINK("http://www.eatonpowersource.com/products/configure/pumps/details/26703-dab","26703-DAB")</f>
        <v>26703-DAB</v>
      </c>
      <c r="B12747" s="8" t="s">
        <v>12313</v>
      </c>
    </row>
    <row r="12748" spans="1:2" x14ac:dyDescent="0.3">
      <c r="A12748" s="9" t="str">
        <f>HYPERLINK("http://www.eatonpowersource.com/products/configure/pumps/details/26703-lsb","26703-LSB")</f>
        <v>26703-LSB</v>
      </c>
      <c r="B12748" s="10" t="s">
        <v>12314</v>
      </c>
    </row>
    <row r="12749" spans="1:2" x14ac:dyDescent="0.3">
      <c r="A12749" s="7" t="str">
        <f>HYPERLINK("http://www.eatonpowersource.com/products/configure/pumps/details/26704-daa","26704-DAA")</f>
        <v>26704-DAA</v>
      </c>
      <c r="B12749" s="8" t="s">
        <v>12315</v>
      </c>
    </row>
    <row r="12750" spans="1:2" x14ac:dyDescent="0.3">
      <c r="A12750" s="9" t="str">
        <f>HYPERLINK("http://www.eatonpowersource.com/products/configure/pumps/details/26704-dab","26704-DAB")</f>
        <v>26704-DAB</v>
      </c>
      <c r="B12750" s="10" t="s">
        <v>12316</v>
      </c>
    </row>
    <row r="12751" spans="1:2" x14ac:dyDescent="0.3">
      <c r="A12751" s="7" t="str">
        <f>HYPERLINK("http://www.eatonpowersource.com/products/configure/pumps/details/26704-dac","26704-DAC")</f>
        <v>26704-DAC</v>
      </c>
      <c r="B12751" s="8" t="s">
        <v>12317</v>
      </c>
    </row>
    <row r="12752" spans="1:2" x14ac:dyDescent="0.3">
      <c r="A12752" s="9" t="str">
        <f>HYPERLINK("http://www.eatonpowersource.com/products/configure/pumps/details/26704-lsb","26704-LSB")</f>
        <v>26704-LSB</v>
      </c>
      <c r="B12752" s="10" t="s">
        <v>12318</v>
      </c>
    </row>
    <row r="12753" spans="1:2" x14ac:dyDescent="0.3">
      <c r="A12753" s="7" t="str">
        <f>HYPERLINK("http://www.eatonpowersource.com/products/configure/pumps/details/26705-dab","26705-DAB")</f>
        <v>26705-DAB</v>
      </c>
      <c r="B12753" s="8" t="s">
        <v>12319</v>
      </c>
    </row>
    <row r="12754" spans="1:2" x14ac:dyDescent="0.3">
      <c r="A12754" s="9" t="str">
        <f>HYPERLINK("http://www.eatonpowersource.com/products/configure/pumps/details/26705-dae","26705-DAE")</f>
        <v>26705-DAE</v>
      </c>
      <c r="B12754" s="10" t="s">
        <v>12320</v>
      </c>
    </row>
    <row r="12755" spans="1:2" x14ac:dyDescent="0.3">
      <c r="A12755" s="7" t="str">
        <f>HYPERLINK("http://www.eatonpowersource.com/products/configure/pumps/details/26705-lsc","26705-LSC")</f>
        <v>26705-LSC</v>
      </c>
      <c r="B12755" s="8" t="s">
        <v>12321</v>
      </c>
    </row>
    <row r="12756" spans="1:2" x14ac:dyDescent="0.3">
      <c r="A12756" s="9" t="str">
        <f>HYPERLINK("http://www.eatonpowersource.com/products/configure/pumps/details/26706-dac","26706-DAC")</f>
        <v>26706-DAC</v>
      </c>
      <c r="B12756" s="10" t="s">
        <v>12322</v>
      </c>
    </row>
    <row r="12757" spans="1:2" x14ac:dyDescent="0.3">
      <c r="A12757" s="7" t="str">
        <f>HYPERLINK("http://www.eatonpowersource.com/products/configure/pumps/details/26706-dad","26706-DAD")</f>
        <v>26706-DAD</v>
      </c>
      <c r="B12757" s="8" t="s">
        <v>12323</v>
      </c>
    </row>
    <row r="12758" spans="1:2" x14ac:dyDescent="0.3">
      <c r="A12758" s="9" t="str">
        <f>HYPERLINK("http://www.eatonpowersource.com/products/configure/pumps/details/26706-dam","26706-DAM")</f>
        <v>26706-DAM</v>
      </c>
      <c r="B12758" s="10" t="s">
        <v>12324</v>
      </c>
    </row>
    <row r="12759" spans="1:2" x14ac:dyDescent="0.3">
      <c r="A12759" s="7" t="str">
        <f>HYPERLINK("http://www.eatonpowersource.com/products/configure/pumps/details/26706-dap","26706-DAP")</f>
        <v>26706-DAP</v>
      </c>
      <c r="B12759" s="8" t="s">
        <v>12325</v>
      </c>
    </row>
    <row r="12760" spans="1:2" x14ac:dyDescent="0.3">
      <c r="A12760" s="9" t="str">
        <f>HYPERLINK("http://www.eatonpowersource.com/products/configure/pumps/details/26707-dam","26707-DAM")</f>
        <v>26707-DAM</v>
      </c>
      <c r="B12760" s="10" t="s">
        <v>12326</v>
      </c>
    </row>
    <row r="12761" spans="1:2" x14ac:dyDescent="0.3">
      <c r="A12761" s="7" t="str">
        <f>HYPERLINK("http://www.eatonpowersource.com/products/configure/pumps/details/26707-dau","26707-DAU")</f>
        <v>26707-DAU</v>
      </c>
      <c r="B12761" s="8" t="s">
        <v>12327</v>
      </c>
    </row>
    <row r="12762" spans="1:2" x14ac:dyDescent="0.3">
      <c r="A12762" s="9" t="str">
        <f>HYPERLINK("http://www.eatonpowersource.com/products/configure/pumps/details/26707-laf","26707-LAF")</f>
        <v>26707-LAF</v>
      </c>
      <c r="B12762" s="10" t="s">
        <v>12328</v>
      </c>
    </row>
    <row r="12763" spans="1:2" x14ac:dyDescent="0.3">
      <c r="A12763" s="7" t="str">
        <f>HYPERLINK("http://www.eatonpowersource.com/products/configure/pumps/details/26708-dal","26708-DAL")</f>
        <v>26708-DAL</v>
      </c>
      <c r="B12763" s="8" t="s">
        <v>12329</v>
      </c>
    </row>
    <row r="12764" spans="1:2" x14ac:dyDescent="0.3">
      <c r="A12764" s="9" t="str">
        <f>HYPERLINK("http://www.eatonpowersource.com/products/configure/pumps/details/26710-dab","26710-DAB")</f>
        <v>26710-DAB</v>
      </c>
      <c r="B12764" s="10" t="s">
        <v>12330</v>
      </c>
    </row>
    <row r="12765" spans="1:2" x14ac:dyDescent="0.3">
      <c r="A12765" s="7" t="str">
        <f>HYPERLINK("http://www.eatonpowersource.com/products/configure/pumps/details/26710-dac","26710-DAC")</f>
        <v>26710-DAC</v>
      </c>
      <c r="B12765" s="8" t="s">
        <v>12331</v>
      </c>
    </row>
    <row r="12766" spans="1:2" x14ac:dyDescent="0.3">
      <c r="A12766" s="9" t="str">
        <f>HYPERLINK("http://www.eatonpowersource.com/products/configure/pumps/details/70122-lap","70122-LAP")</f>
        <v>70122-LAP</v>
      </c>
      <c r="B12766" s="10" t="s">
        <v>12332</v>
      </c>
    </row>
    <row r="12767" spans="1:2" x14ac:dyDescent="0.3">
      <c r="A12767" s="7" t="str">
        <f>HYPERLINK("http://www.eatonpowersource.com/products/configure/pumps/details/70122-laz","70122-LAZ")</f>
        <v>70122-LAZ</v>
      </c>
      <c r="B12767" s="8" t="s">
        <v>12333</v>
      </c>
    </row>
    <row r="12768" spans="1:2" x14ac:dyDescent="0.3">
      <c r="A12768" s="9" t="str">
        <f>HYPERLINK("http://www.eatonpowersource.com/products/configure/pumps/details/70122-lbc","70122-LBC")</f>
        <v>70122-LBC</v>
      </c>
      <c r="B12768" s="10" t="s">
        <v>12334</v>
      </c>
    </row>
    <row r="12769" spans="1:2" x14ac:dyDescent="0.3">
      <c r="A12769" s="7" t="str">
        <f>HYPERLINK("http://www.eatonpowersource.com/products/configure/pumps/details/70122-lbj","70122-LBJ")</f>
        <v>70122-LBJ</v>
      </c>
      <c r="B12769" s="8" t="s">
        <v>12335</v>
      </c>
    </row>
    <row r="12770" spans="1:2" x14ac:dyDescent="0.3">
      <c r="A12770" s="9" t="str">
        <f>HYPERLINK("http://www.eatonpowersource.com/products/configure/pumps/details/70122-lbt","70122-LBT")</f>
        <v>70122-LBT</v>
      </c>
      <c r="B12770" s="10" t="s">
        <v>12336</v>
      </c>
    </row>
    <row r="12771" spans="1:2" x14ac:dyDescent="0.3">
      <c r="A12771" s="7" t="str">
        <f>HYPERLINK("http://www.eatonpowersource.com/products/configure/pumps/details/70122-lcb","70122-LCB")</f>
        <v>70122-LCB</v>
      </c>
      <c r="B12771" s="8" t="s">
        <v>12337</v>
      </c>
    </row>
    <row r="12772" spans="1:2" x14ac:dyDescent="0.3">
      <c r="A12772" s="9" t="str">
        <f>HYPERLINK("http://www.eatonpowersource.com/products/configure/pumps/details/70122-ldd","70122-LDD")</f>
        <v>70122-LDD</v>
      </c>
      <c r="B12772" s="10" t="s">
        <v>12338</v>
      </c>
    </row>
    <row r="12773" spans="1:2" x14ac:dyDescent="0.3">
      <c r="A12773" s="7" t="str">
        <f>HYPERLINK("http://www.eatonpowersource.com/products/configure/pumps/details/70122-rag","70122-RAG")</f>
        <v>70122-RAG</v>
      </c>
      <c r="B12773" s="8" t="s">
        <v>12339</v>
      </c>
    </row>
    <row r="12774" spans="1:2" x14ac:dyDescent="0.3">
      <c r="A12774" s="9" t="str">
        <f>HYPERLINK("http://www.eatonpowersource.com/products/configure/pumps/details/70122-ral","70122-RAL")</f>
        <v>70122-RAL</v>
      </c>
      <c r="B12774" s="10" t="s">
        <v>12340</v>
      </c>
    </row>
    <row r="12775" spans="1:2" x14ac:dyDescent="0.3">
      <c r="A12775" s="7" t="str">
        <f>HYPERLINK("http://www.eatonpowersource.com/products/configure/pumps/details/70122-ram","70122-RAM")</f>
        <v>70122-RAM</v>
      </c>
      <c r="B12775" s="8" t="s">
        <v>12341</v>
      </c>
    </row>
    <row r="12776" spans="1:2" x14ac:dyDescent="0.3">
      <c r="A12776" s="9" t="str">
        <f>HYPERLINK("http://www.eatonpowersource.com/products/configure/pumps/details/70122-ray","70122-RAY")</f>
        <v>70122-RAY</v>
      </c>
      <c r="B12776" s="10" t="s">
        <v>12342</v>
      </c>
    </row>
    <row r="12777" spans="1:2" x14ac:dyDescent="0.3">
      <c r="A12777" s="7" t="str">
        <f>HYPERLINK("http://www.eatonpowersource.com/products/configure/pumps/details/70122-rbb","70122-RBB")</f>
        <v>70122-RBB</v>
      </c>
      <c r="B12777" s="8" t="s">
        <v>12343</v>
      </c>
    </row>
    <row r="12778" spans="1:2" x14ac:dyDescent="0.3">
      <c r="A12778" s="9" t="str">
        <f>HYPERLINK("http://www.eatonpowersource.com/products/configure/pumps/details/70122-rbd","70122-RBD")</f>
        <v>70122-RBD</v>
      </c>
      <c r="B12778" s="10" t="s">
        <v>12344</v>
      </c>
    </row>
    <row r="12779" spans="1:2" x14ac:dyDescent="0.3">
      <c r="A12779" s="7" t="str">
        <f>HYPERLINK("http://www.eatonpowersource.com/products/configure/pumps/details/70122-rbn","70122-RBN")</f>
        <v>70122-RBN</v>
      </c>
      <c r="B12779" s="8" t="s">
        <v>12345</v>
      </c>
    </row>
    <row r="12780" spans="1:2" x14ac:dyDescent="0.3">
      <c r="A12780" s="9" t="str">
        <f>HYPERLINK("http://www.eatonpowersource.com/products/configure/pumps/details/70122-rcj","70122-RCJ")</f>
        <v>70122-RCJ</v>
      </c>
      <c r="B12780" s="10" t="s">
        <v>12346</v>
      </c>
    </row>
    <row r="12781" spans="1:2" x14ac:dyDescent="0.3">
      <c r="A12781" s="7" t="str">
        <f>HYPERLINK("http://www.eatonpowersource.com/products/configure/pumps/details/70122-rck","70122-RCK")</f>
        <v>70122-RCK</v>
      </c>
      <c r="B12781" s="8" t="s">
        <v>12347</v>
      </c>
    </row>
    <row r="12782" spans="1:2" x14ac:dyDescent="0.3">
      <c r="A12782" s="9" t="str">
        <f>HYPERLINK("http://www.eatonpowersource.com/products/configure/pumps/details/70122-rcs","70122-RCS")</f>
        <v>70122-RCS</v>
      </c>
      <c r="B12782" s="10" t="s">
        <v>12348</v>
      </c>
    </row>
    <row r="12783" spans="1:2" x14ac:dyDescent="0.3">
      <c r="A12783" s="7" t="str">
        <f>HYPERLINK("http://www.eatonpowersource.com/products/configure/pumps/details/70122-rcw","70122-RCW")</f>
        <v>70122-RCW</v>
      </c>
      <c r="B12783" s="8" t="s">
        <v>12349</v>
      </c>
    </row>
    <row r="12784" spans="1:2" x14ac:dyDescent="0.3">
      <c r="A12784" s="9" t="str">
        <f>HYPERLINK("http://www.eatonpowersource.com/products/configure/pumps/details/70122-rcz","70122-RCZ")</f>
        <v>70122-RCZ</v>
      </c>
      <c r="B12784" s="10" t="s">
        <v>12350</v>
      </c>
    </row>
    <row r="12785" spans="1:2" x14ac:dyDescent="0.3">
      <c r="A12785" s="7" t="str">
        <f>HYPERLINK("http://www.eatonpowersource.com/products/configure/pumps/details/70122-rdf","70122-RDF")</f>
        <v>70122-RDF</v>
      </c>
      <c r="B12785" s="8" t="s">
        <v>12351</v>
      </c>
    </row>
    <row r="12786" spans="1:2" x14ac:dyDescent="0.3">
      <c r="A12786" s="9" t="str">
        <f>HYPERLINK("http://www.eatonpowersource.com/products/configure/pumps/details/70122-rdm","70122-RDM")</f>
        <v>70122-RDM</v>
      </c>
      <c r="B12786" s="10" t="s">
        <v>12352</v>
      </c>
    </row>
    <row r="12787" spans="1:2" x14ac:dyDescent="0.3">
      <c r="A12787" s="7" t="str">
        <f>HYPERLINK("http://www.eatonpowersource.com/products/configure/pumps/details/70160-lba-03","70160-LBA-03")</f>
        <v>70160-LBA-03</v>
      </c>
      <c r="B12787" s="8" t="s">
        <v>12353</v>
      </c>
    </row>
    <row r="12788" spans="1:2" x14ac:dyDescent="0.3">
      <c r="A12788" s="9" t="str">
        <f>HYPERLINK("http://www.eatonpowersource.com/products/configure/pumps/details/70160-raj-03","70160-RAJ-03")</f>
        <v>70160-RAJ-03</v>
      </c>
      <c r="B12788" s="10" t="s">
        <v>12354</v>
      </c>
    </row>
    <row r="12789" spans="1:2" x14ac:dyDescent="0.3">
      <c r="A12789" s="7" t="str">
        <f>HYPERLINK("http://www.eatonpowersource.com/products/configure/pumps/details/70160-rap-03","70160-RAP-03")</f>
        <v>70160-RAP-03</v>
      </c>
      <c r="B12789" s="8" t="s">
        <v>12355</v>
      </c>
    </row>
    <row r="12790" spans="1:2" x14ac:dyDescent="0.3">
      <c r="A12790" s="9" t="str">
        <f>HYPERLINK("http://www.eatonpowersource.com/products/configure/pumps/details/70160-rck-03","70160-RCK-03")</f>
        <v>70160-RCK-03</v>
      </c>
      <c r="B12790" s="10" t="s">
        <v>12356</v>
      </c>
    </row>
    <row r="12791" spans="1:2" x14ac:dyDescent="0.3">
      <c r="A12791" s="7" t="str">
        <f>HYPERLINK("http://www.eatonpowersource.com/products/configure/pumps/details/70160-rdd-03","70160-RDD-03")</f>
        <v>70160-RDD-03</v>
      </c>
      <c r="B12791" s="8" t="s">
        <v>12357</v>
      </c>
    </row>
    <row r="12792" spans="1:2" x14ac:dyDescent="0.3">
      <c r="A12792" s="9" t="str">
        <f>HYPERLINK("http://www.eatonpowersource.com/products/configure/pumps/details/70160-rdf-03","70160-RDF-03")</f>
        <v>70160-RDF-03</v>
      </c>
      <c r="B12792" s="10" t="s">
        <v>12358</v>
      </c>
    </row>
    <row r="12793" spans="1:2" x14ac:dyDescent="0.3">
      <c r="A12793" s="7" t="str">
        <f>HYPERLINK("http://www.eatonpowersource.com/products/configure/pumps/details/70160-rea-03","70160-REA-03")</f>
        <v>70160-REA-03</v>
      </c>
      <c r="B12793" s="8" t="s">
        <v>12359</v>
      </c>
    </row>
    <row r="12794" spans="1:2" x14ac:dyDescent="0.3">
      <c r="A12794" s="9" t="str">
        <f>HYPERLINK("http://www.eatonpowersource.com/products/configure/pumps/details/70160-red-03","70160-RED-03")</f>
        <v>70160-RED-03</v>
      </c>
      <c r="B12794" s="10" t="s">
        <v>12360</v>
      </c>
    </row>
    <row r="12795" spans="1:2" x14ac:dyDescent="0.3">
      <c r="A12795" s="7" t="str">
        <f>HYPERLINK("http://www.eatonpowersource.com/products/configure/pumps/details/70160-ren-03","70160-REN-03")</f>
        <v>70160-REN-03</v>
      </c>
      <c r="B12795" s="8" t="s">
        <v>12361</v>
      </c>
    </row>
    <row r="12796" spans="1:2" x14ac:dyDescent="0.3">
      <c r="A12796" s="9" t="str">
        <f>HYPERLINK("http://www.eatonpowersource.com/products/configure/pumps/details/70160-rfr-03","70160-RFR-03")</f>
        <v>70160-RFR-03</v>
      </c>
      <c r="B12796" s="10" t="s">
        <v>12362</v>
      </c>
    </row>
    <row r="12797" spans="1:2" x14ac:dyDescent="0.3">
      <c r="A12797" s="7" t="str">
        <f>HYPERLINK("http://www.eatonpowersource.com/products/configure/pumps/details/70160-rfy-03","70160-RFY-03")</f>
        <v>70160-RFY-03</v>
      </c>
      <c r="B12797" s="8" t="s">
        <v>12363</v>
      </c>
    </row>
    <row r="12798" spans="1:2" x14ac:dyDescent="0.3">
      <c r="A12798" s="9" t="str">
        <f>HYPERLINK("http://www.eatonpowersource.com/products/configure/pumps/details/70160-rgm-03","70160-RGM-03")</f>
        <v>70160-RGM-03</v>
      </c>
      <c r="B12798" s="10" t="s">
        <v>12364</v>
      </c>
    </row>
    <row r="12799" spans="1:2" x14ac:dyDescent="0.3">
      <c r="A12799" s="7" t="str">
        <f>HYPERLINK("http://www.eatonpowersource.com/products/configure/pumps/details/70160-rhc-03","70160-RHC-03")</f>
        <v>70160-RHC-03</v>
      </c>
      <c r="B12799" s="8" t="s">
        <v>12365</v>
      </c>
    </row>
    <row r="12800" spans="1:2" x14ac:dyDescent="0.3">
      <c r="A12800" s="9" t="str">
        <f>HYPERLINK("http://www.eatonpowersource.com/products/configure/pumps/details/70160-rhs-03","70160-RHS-03")</f>
        <v>70160-RHS-03</v>
      </c>
      <c r="B12800" s="10" t="s">
        <v>12366</v>
      </c>
    </row>
    <row r="12801" spans="1:2" x14ac:dyDescent="0.3">
      <c r="A12801" s="7" t="str">
        <f>HYPERLINK("http://www.eatonpowersource.com/products/configure/pumps/details/70160-rig-03","70160-RIG-03")</f>
        <v>70160-RIG-03</v>
      </c>
      <c r="B12801" s="8" t="s">
        <v>12367</v>
      </c>
    </row>
    <row r="12802" spans="1:2" x14ac:dyDescent="0.3">
      <c r="A12802" s="9" t="str">
        <f>HYPERLINK("http://www.eatonpowersource.com/products/configure/pumps/details/70160-rjv-03","70160-RJV-03")</f>
        <v>70160-RJV-03</v>
      </c>
      <c r="B12802" s="10" t="s">
        <v>12368</v>
      </c>
    </row>
    <row r="12803" spans="1:2" x14ac:dyDescent="0.3">
      <c r="A12803" s="7" t="str">
        <f>HYPERLINK("http://www.eatonpowersource.com/products/configure/pumps/details/70160-rkz-03","70160-RKZ-03")</f>
        <v>70160-RKZ-03</v>
      </c>
      <c r="B12803" s="8" t="s">
        <v>12369</v>
      </c>
    </row>
    <row r="12804" spans="1:2" x14ac:dyDescent="0.3">
      <c r="A12804" s="9" t="str">
        <f>HYPERLINK("http://www.eatonpowersource.com/products/configure/pumps/details/70160-rmk-03","70160-RMK-03")</f>
        <v>70160-RMK-03</v>
      </c>
      <c r="B12804" s="10" t="s">
        <v>12370</v>
      </c>
    </row>
    <row r="12805" spans="1:2" x14ac:dyDescent="0.3">
      <c r="A12805" s="7" t="str">
        <f>HYPERLINK("http://www.eatonpowersource.com/products/configure/pumps/details/70160-rnr-03","70160-RNR-03")</f>
        <v>70160-RNR-03</v>
      </c>
      <c r="B12805" s="8" t="s">
        <v>12371</v>
      </c>
    </row>
    <row r="12806" spans="1:2" x14ac:dyDescent="0.3">
      <c r="A12806" s="9" t="str">
        <f>HYPERLINK("http://www.eatonpowersource.com/products/configure/pumps/details/70160-rnz-03","70160-RNZ-03")</f>
        <v>70160-RNZ-03</v>
      </c>
      <c r="B12806" s="10" t="s">
        <v>12372</v>
      </c>
    </row>
    <row r="12807" spans="1:2" x14ac:dyDescent="0.3">
      <c r="A12807" s="7" t="str">
        <f>HYPERLINK("http://www.eatonpowersource.com/products/configure/pumps/details/70160-rpk-03","70160-RPK-03")</f>
        <v>70160-RPK-03</v>
      </c>
      <c r="B12807" s="8" t="s">
        <v>12373</v>
      </c>
    </row>
    <row r="12808" spans="1:2" x14ac:dyDescent="0.3">
      <c r="A12808" s="9" t="str">
        <f>HYPERLINK("http://www.eatonpowersource.com/products/configure/pumps/details/70160-rpt-03","70160-RPT-03")</f>
        <v>70160-RPT-03</v>
      </c>
      <c r="B12808" s="10" t="s">
        <v>12374</v>
      </c>
    </row>
    <row r="12809" spans="1:2" x14ac:dyDescent="0.3">
      <c r="A12809" s="7" t="str">
        <f>HYPERLINK("http://www.eatonpowersource.com/products/configure/pumps/details/70360-raa-02","70360-RAA-02")</f>
        <v>70360-RAA-02</v>
      </c>
      <c r="B12809" s="8" t="s">
        <v>12375</v>
      </c>
    </row>
    <row r="12810" spans="1:2" x14ac:dyDescent="0.3">
      <c r="A12810" s="9" t="str">
        <f>HYPERLINK("http://www.eatonpowersource.com/products/configure/pumps/details/70360-rab-02","70360-RAB-02")</f>
        <v>70360-RAB-02</v>
      </c>
      <c r="B12810" s="10" t="s">
        <v>12376</v>
      </c>
    </row>
    <row r="12811" spans="1:2" x14ac:dyDescent="0.3">
      <c r="A12811" s="7" t="str">
        <f>HYPERLINK("http://www.eatonpowersource.com/products/configure/pumps/details/70360-rak-02","70360-RAK-02")</f>
        <v>70360-RAK-02</v>
      </c>
      <c r="B12811" s="8" t="s">
        <v>12377</v>
      </c>
    </row>
    <row r="12812" spans="1:2" x14ac:dyDescent="0.3">
      <c r="A12812" s="9" t="str">
        <f>HYPERLINK("http://www.eatonpowersource.com/products/configure/pumps/details/70360-rbw-02","70360-RBW-02")</f>
        <v>70360-RBW-02</v>
      </c>
      <c r="B12812" s="10" t="s">
        <v>12378</v>
      </c>
    </row>
    <row r="12813" spans="1:2" x14ac:dyDescent="0.3">
      <c r="A12813" s="7" t="str">
        <f>HYPERLINK("http://www.eatonpowersource.com/products/configure/pumps/details/70360-rdf-02","70360-RDF-02")</f>
        <v>70360-RDF-02</v>
      </c>
      <c r="B12813" s="8" t="s">
        <v>12379</v>
      </c>
    </row>
    <row r="12814" spans="1:2" x14ac:dyDescent="0.3">
      <c r="A12814" s="9" t="str">
        <f>HYPERLINK("http://www.eatonpowersource.com/products/configure/pumps/details/70360-rdr-02","70360-RDR-02")</f>
        <v>70360-RDR-02</v>
      </c>
      <c r="B12814" s="10" t="s">
        <v>12380</v>
      </c>
    </row>
    <row r="12815" spans="1:2" x14ac:dyDescent="0.3">
      <c r="A12815" s="7" t="str">
        <f>HYPERLINK("http://www.eatonpowersource.com/products/configure/pumps/details/70360-ren-02","70360-REN-02")</f>
        <v>70360-REN-02</v>
      </c>
      <c r="B12815" s="8" t="s">
        <v>12381</v>
      </c>
    </row>
    <row r="12816" spans="1:2" x14ac:dyDescent="0.3">
      <c r="A12816" s="9" t="str">
        <f>HYPERLINK("http://www.eatonpowersource.com/products/configure/pumps/details/70360-reu-02","70360-REU-02")</f>
        <v>70360-REU-02</v>
      </c>
      <c r="B12816" s="10" t="s">
        <v>12382</v>
      </c>
    </row>
    <row r="12817" spans="1:2" x14ac:dyDescent="0.3">
      <c r="A12817" s="7" t="str">
        <f>HYPERLINK("http://www.eatonpowersource.com/products/configure/pumps/details/70360-rnl-02","70360-RNL-02")</f>
        <v>70360-RNL-02</v>
      </c>
      <c r="B12817" s="8" t="s">
        <v>12383</v>
      </c>
    </row>
    <row r="12818" spans="1:2" x14ac:dyDescent="0.3">
      <c r="A12818" s="9" t="str">
        <f>HYPERLINK("http://www.eatonpowersource.com/products/configure/pumps/details/70360-rnu-02","70360-RNU-02")</f>
        <v>70360-RNU-02</v>
      </c>
      <c r="B12818" s="10" t="s">
        <v>12384</v>
      </c>
    </row>
    <row r="12819" spans="1:2" x14ac:dyDescent="0.3">
      <c r="A12819" s="7" t="str">
        <f>HYPERLINK("http://www.eatonpowersource.com/products/configure/pumps/details/70422-lah","70422-LAH")</f>
        <v>70422-LAH</v>
      </c>
      <c r="B12819" s="8" t="s">
        <v>12385</v>
      </c>
    </row>
    <row r="12820" spans="1:2" x14ac:dyDescent="0.3">
      <c r="A12820" s="9" t="str">
        <f>HYPERLINK("http://www.eatonpowersource.com/products/configure/pumps/details/70422-laz","70422-LAZ")</f>
        <v>70422-LAZ</v>
      </c>
      <c r="B12820" s="10" t="s">
        <v>12386</v>
      </c>
    </row>
    <row r="12821" spans="1:2" x14ac:dyDescent="0.3">
      <c r="A12821" s="7" t="str">
        <f>HYPERLINK("http://www.eatonpowersource.com/products/configure/pumps/details/70422-lce","70422-LCE")</f>
        <v>70422-LCE</v>
      </c>
      <c r="B12821" s="8" t="s">
        <v>12387</v>
      </c>
    </row>
    <row r="12822" spans="1:2" x14ac:dyDescent="0.3">
      <c r="A12822" s="9" t="str">
        <f>HYPERLINK("http://www.eatonpowersource.com/products/configure/pumps/details/70422-lcf","70422-LCF")</f>
        <v>70422-LCF</v>
      </c>
      <c r="B12822" s="10" t="s">
        <v>12388</v>
      </c>
    </row>
    <row r="12823" spans="1:2" x14ac:dyDescent="0.3">
      <c r="A12823" s="7" t="str">
        <f>HYPERLINK("http://www.eatonpowersource.com/products/configure/pumps/details/70422-rat","70422-RAT")</f>
        <v>70422-RAT</v>
      </c>
      <c r="B12823" s="8" t="s">
        <v>12389</v>
      </c>
    </row>
    <row r="12824" spans="1:2" x14ac:dyDescent="0.3">
      <c r="A12824" s="9" t="str">
        <f>HYPERLINK("http://www.eatonpowersource.com/products/configure/pumps/details/70422-rau","70422-RAU")</f>
        <v>70422-RAU</v>
      </c>
      <c r="B12824" s="10" t="s">
        <v>12390</v>
      </c>
    </row>
    <row r="12825" spans="1:2" x14ac:dyDescent="0.3">
      <c r="A12825" s="7" t="str">
        <f>HYPERLINK("http://www.eatonpowersource.com/products/configure/pumps/details/70422-rbk","70422-RBK")</f>
        <v>70422-RBK</v>
      </c>
      <c r="B12825" s="8" t="s">
        <v>12391</v>
      </c>
    </row>
    <row r="12826" spans="1:2" x14ac:dyDescent="0.3">
      <c r="A12826" s="9" t="str">
        <f>HYPERLINK("http://www.eatonpowersource.com/products/configure/pumps/details/70422-rcb","70422-RCB")</f>
        <v>70422-RCB</v>
      </c>
      <c r="B12826" s="10" t="s">
        <v>12392</v>
      </c>
    </row>
    <row r="12827" spans="1:2" x14ac:dyDescent="0.3">
      <c r="A12827" s="7" t="str">
        <f>HYPERLINK("http://www.eatonpowersource.com/products/configure/pumps/details/70422-rcg","70422-RCG")</f>
        <v>70422-RCG</v>
      </c>
      <c r="B12827" s="8" t="s">
        <v>12393</v>
      </c>
    </row>
    <row r="12828" spans="1:2" x14ac:dyDescent="0.3">
      <c r="A12828" s="9" t="str">
        <f>HYPERLINK("http://www.eatonpowersource.com/products/configure/pumps/details/70422-rdu","70422-RDU")</f>
        <v>70422-RDU</v>
      </c>
      <c r="B12828" s="10" t="s">
        <v>12394</v>
      </c>
    </row>
    <row r="12829" spans="1:2" x14ac:dyDescent="0.3">
      <c r="A12829" s="7" t="str">
        <f>HYPERLINK("http://www.eatonpowersource.com/products/configure/pumps/details/70422-rdx","70422-RDX")</f>
        <v>70422-RDX</v>
      </c>
      <c r="B12829" s="8" t="s">
        <v>12395</v>
      </c>
    </row>
    <row r="12830" spans="1:2" x14ac:dyDescent="0.3">
      <c r="A12830" s="9" t="str">
        <f>HYPERLINK("http://www.eatonpowersource.com/products/configure/pumps/details/70422-rek","70422-REK")</f>
        <v>70422-REK</v>
      </c>
      <c r="B12830" s="10" t="s">
        <v>12396</v>
      </c>
    </row>
    <row r="12831" spans="1:2" x14ac:dyDescent="0.3">
      <c r="A12831" s="7" t="str">
        <f>HYPERLINK("http://www.eatonpowersource.com/products/configure/pumps/details/70422-rel","70422-REL")</f>
        <v>70422-REL</v>
      </c>
      <c r="B12831" s="8" t="s">
        <v>12397</v>
      </c>
    </row>
    <row r="12832" spans="1:2" x14ac:dyDescent="0.3">
      <c r="A12832" s="9" t="str">
        <f>HYPERLINK("http://www.eatonpowersource.com/products/configure/pumps/details/70422-ren","70422-REN")</f>
        <v>70422-REN</v>
      </c>
      <c r="B12832" s="10" t="s">
        <v>12398</v>
      </c>
    </row>
    <row r="12833" spans="1:2" x14ac:dyDescent="0.3">
      <c r="A12833" s="7" t="str">
        <f>HYPERLINK("http://www.eatonpowersource.com/products/configure/pumps/details/70422-res","70422-RES")</f>
        <v>70422-RES</v>
      </c>
      <c r="B12833" s="8" t="s">
        <v>12399</v>
      </c>
    </row>
    <row r="12834" spans="1:2" x14ac:dyDescent="0.3">
      <c r="A12834" s="9" t="str">
        <f>HYPERLINK("http://www.eatonpowersource.com/products/configure/pumps/details/70422-rfe","70422-RFE")</f>
        <v>70422-RFE</v>
      </c>
      <c r="B12834" s="10" t="s">
        <v>12400</v>
      </c>
    </row>
    <row r="12835" spans="1:2" x14ac:dyDescent="0.3">
      <c r="A12835" s="7" t="str">
        <f>HYPERLINK("http://www.eatonpowersource.com/products/configure/pumps/details/70422-rfs","70422-RFS")</f>
        <v>70422-RFS</v>
      </c>
      <c r="B12835" s="8" t="s">
        <v>12401</v>
      </c>
    </row>
    <row r="12836" spans="1:2" x14ac:dyDescent="0.3">
      <c r="A12836" s="9" t="str">
        <f>HYPERLINK("http://www.eatonpowersource.com/products/configure/pumps/details/70423-lba","70423-LBA")</f>
        <v>70423-LBA</v>
      </c>
      <c r="B12836" s="10" t="s">
        <v>12402</v>
      </c>
    </row>
    <row r="12837" spans="1:2" x14ac:dyDescent="0.3">
      <c r="A12837" s="7" t="str">
        <f>HYPERLINK("http://www.eatonpowersource.com/products/configure/pumps/details/70423-lbc","70423-LBC")</f>
        <v>70423-LBC</v>
      </c>
      <c r="B12837" s="8" t="s">
        <v>12403</v>
      </c>
    </row>
    <row r="12838" spans="1:2" x14ac:dyDescent="0.3">
      <c r="A12838" s="9" t="str">
        <f>HYPERLINK("http://www.eatonpowersource.com/products/configure/pumps/details/70423-lbe","70423-LBE")</f>
        <v>70423-LBE</v>
      </c>
      <c r="B12838" s="10" t="s">
        <v>12404</v>
      </c>
    </row>
    <row r="12839" spans="1:2" x14ac:dyDescent="0.3">
      <c r="A12839" s="7" t="str">
        <f>HYPERLINK("http://www.eatonpowersource.com/products/configure/pumps/details/70423-lbf","70423-LBF")</f>
        <v>70423-LBF</v>
      </c>
      <c r="B12839" s="8" t="s">
        <v>12405</v>
      </c>
    </row>
    <row r="12840" spans="1:2" x14ac:dyDescent="0.3">
      <c r="A12840" s="9" t="str">
        <f>HYPERLINK("http://www.eatonpowersource.com/products/configure/pumps/details/70423-lbg","70423-LBG")</f>
        <v>70423-LBG</v>
      </c>
      <c r="B12840" s="10" t="s">
        <v>12406</v>
      </c>
    </row>
    <row r="12841" spans="1:2" x14ac:dyDescent="0.3">
      <c r="A12841" s="7" t="str">
        <f>HYPERLINK("http://www.eatonpowersource.com/products/configure/pumps/details/70423-lcz","70423-LCZ")</f>
        <v>70423-LCZ</v>
      </c>
      <c r="B12841" s="8" t="s">
        <v>12407</v>
      </c>
    </row>
    <row r="12842" spans="1:2" x14ac:dyDescent="0.3">
      <c r="A12842" s="9" t="str">
        <f>HYPERLINK("http://www.eatonpowersource.com/products/configure/pumps/details/70423-ldj","70423-LDJ")</f>
        <v>70423-LDJ</v>
      </c>
      <c r="B12842" s="10" t="s">
        <v>12408</v>
      </c>
    </row>
    <row r="12843" spans="1:2" x14ac:dyDescent="0.3">
      <c r="A12843" s="7" t="str">
        <f>HYPERLINK("http://www.eatonpowersource.com/products/configure/pumps/details/70423-raw","70423-RAW")</f>
        <v>70423-RAW</v>
      </c>
      <c r="B12843" s="8" t="s">
        <v>12409</v>
      </c>
    </row>
    <row r="12844" spans="1:2" x14ac:dyDescent="0.3">
      <c r="A12844" s="9" t="str">
        <f>HYPERLINK("http://www.eatonpowersource.com/products/configure/pumps/details/70423-rbm","70423-RBM")</f>
        <v>70423-RBM</v>
      </c>
      <c r="B12844" s="10" t="s">
        <v>12410</v>
      </c>
    </row>
    <row r="12845" spans="1:2" x14ac:dyDescent="0.3">
      <c r="A12845" s="7" t="str">
        <f>HYPERLINK("http://www.eatonpowersource.com/products/configure/pumps/details/70423-rbn","70423-RBN")</f>
        <v>70423-RBN</v>
      </c>
      <c r="B12845" s="8" t="s">
        <v>12411</v>
      </c>
    </row>
    <row r="12846" spans="1:2" x14ac:dyDescent="0.3">
      <c r="A12846" s="9" t="str">
        <f>HYPERLINK("http://www.eatonpowersource.com/products/configure/pumps/details/70423-rbq","70423-RBQ")</f>
        <v>70423-RBQ</v>
      </c>
      <c r="B12846" s="10" t="s">
        <v>12412</v>
      </c>
    </row>
    <row r="12847" spans="1:2" x14ac:dyDescent="0.3">
      <c r="A12847" s="7" t="str">
        <f>HYPERLINK("http://www.eatonpowersource.com/products/configure/pumps/details/70423-rbt","70423-RBT")</f>
        <v>70423-RBT</v>
      </c>
      <c r="B12847" s="8" t="s">
        <v>12413</v>
      </c>
    </row>
    <row r="12848" spans="1:2" x14ac:dyDescent="0.3">
      <c r="A12848" s="9" t="str">
        <f>HYPERLINK("http://www.eatonpowersource.com/products/configure/pumps/details/70423-rcn","70423-RCN")</f>
        <v>70423-RCN</v>
      </c>
      <c r="B12848" s="10" t="s">
        <v>12414</v>
      </c>
    </row>
    <row r="12849" spans="1:2" x14ac:dyDescent="0.3">
      <c r="A12849" s="7" t="str">
        <f>HYPERLINK("http://www.eatonpowersource.com/products/configure/pumps/details/70423-rcs","70423-RCS")</f>
        <v>70423-RCS</v>
      </c>
      <c r="B12849" s="8" t="s">
        <v>12415</v>
      </c>
    </row>
    <row r="12850" spans="1:2" x14ac:dyDescent="0.3">
      <c r="A12850" s="9" t="str">
        <f>HYPERLINK("http://www.eatonpowersource.com/products/configure/pumps/details/70423-rds","70423-RDS")</f>
        <v>70423-RDS</v>
      </c>
      <c r="B12850" s="10" t="s">
        <v>12416</v>
      </c>
    </row>
    <row r="12851" spans="1:2" x14ac:dyDescent="0.3">
      <c r="A12851" s="7" t="str">
        <f>HYPERLINK("http://www.eatonpowersource.com/products/configure/pumps/details/70423-rdw","70423-RDW")</f>
        <v>70423-RDW</v>
      </c>
      <c r="B12851" s="8" t="s">
        <v>12417</v>
      </c>
    </row>
    <row r="12852" spans="1:2" x14ac:dyDescent="0.3">
      <c r="A12852" s="9" t="str">
        <f>HYPERLINK("http://www.eatonpowersource.com/products/configure/pumps/details/70423-reh","70423-REH")</f>
        <v>70423-REH</v>
      </c>
      <c r="B12852" s="10" t="s">
        <v>12418</v>
      </c>
    </row>
    <row r="12853" spans="1:2" x14ac:dyDescent="0.3">
      <c r="A12853" s="7" t="str">
        <f>HYPERLINK("http://www.eatonpowersource.com/products/configure/pumps/details/70452-lag","70452-LAG")</f>
        <v>70452-LAG</v>
      </c>
      <c r="B12853" s="8" t="s">
        <v>12419</v>
      </c>
    </row>
    <row r="12854" spans="1:2" x14ac:dyDescent="0.3">
      <c r="A12854" s="9" t="str">
        <f>HYPERLINK("http://www.eatonpowersource.com/products/configure/pumps/details/70452-rag","70452-RAG")</f>
        <v>70452-RAG</v>
      </c>
      <c r="B12854" s="10" t="s">
        <v>12420</v>
      </c>
    </row>
    <row r="12855" spans="1:2" x14ac:dyDescent="0.3">
      <c r="A12855" s="7" t="str">
        <f>HYPERLINK("http://www.eatonpowersource.com/products/configure/pumps/details/70452-ram","70452-RAM")</f>
        <v>70452-RAM</v>
      </c>
      <c r="B12855" s="8" t="s">
        <v>12421</v>
      </c>
    </row>
    <row r="12856" spans="1:2" x14ac:dyDescent="0.3">
      <c r="A12856" s="9" t="str">
        <f>HYPERLINK("http://www.eatonpowersource.com/products/configure/pumps/details/70452-rbs","70452-RBS")</f>
        <v>70452-RBS</v>
      </c>
      <c r="B12856" s="10" t="s">
        <v>12422</v>
      </c>
    </row>
    <row r="12857" spans="1:2" x14ac:dyDescent="0.3">
      <c r="A12857" s="7" t="str">
        <f>HYPERLINK("http://www.eatonpowersource.com/products/configure/pumps/details/70452-rby","70452-RBY")</f>
        <v>70452-RBY</v>
      </c>
      <c r="B12857" s="8" t="s">
        <v>12423</v>
      </c>
    </row>
    <row r="12858" spans="1:2" x14ac:dyDescent="0.3">
      <c r="A12858" s="9" t="str">
        <f>HYPERLINK("http://www.eatonpowersource.com/products/configure/pumps/details/70453-lad","70453-LAD")</f>
        <v>70453-LAD</v>
      </c>
      <c r="B12858" s="10" t="s">
        <v>12424</v>
      </c>
    </row>
    <row r="12859" spans="1:2" x14ac:dyDescent="0.3">
      <c r="A12859" s="7" t="str">
        <f>HYPERLINK("http://www.eatonpowersource.com/products/configure/pumps/details/70453-lag","70453-LAG")</f>
        <v>70453-LAG</v>
      </c>
      <c r="B12859" s="8" t="s">
        <v>12425</v>
      </c>
    </row>
    <row r="12860" spans="1:2" x14ac:dyDescent="0.3">
      <c r="A12860" s="9" t="str">
        <f>HYPERLINK("http://www.eatonpowersource.com/products/configure/pumps/details/70453-lam","70453-LAM")</f>
        <v>70453-LAM</v>
      </c>
      <c r="B12860" s="10" t="s">
        <v>12426</v>
      </c>
    </row>
    <row r="12861" spans="1:2" x14ac:dyDescent="0.3">
      <c r="A12861" s="7" t="str">
        <f>HYPERLINK("http://www.eatonpowersource.com/products/configure/pumps/details/70453-lav","70453-LAV")</f>
        <v>70453-LAV</v>
      </c>
      <c r="B12861" s="8" t="s">
        <v>12427</v>
      </c>
    </row>
    <row r="12862" spans="1:2" x14ac:dyDescent="0.3">
      <c r="A12862" s="9" t="str">
        <f>HYPERLINK("http://www.eatonpowersource.com/products/configure/pumps/details/70453-lbc","70453-LBC")</f>
        <v>70453-LBC</v>
      </c>
      <c r="B12862" s="10" t="s">
        <v>12428</v>
      </c>
    </row>
    <row r="12863" spans="1:2" x14ac:dyDescent="0.3">
      <c r="A12863" s="7" t="str">
        <f>HYPERLINK("http://www.eatonpowersource.com/products/configure/pumps/details/70453-lbg","70453-LBG")</f>
        <v>70453-LBG</v>
      </c>
      <c r="B12863" s="8" t="s">
        <v>12429</v>
      </c>
    </row>
    <row r="12864" spans="1:2" x14ac:dyDescent="0.3">
      <c r="A12864" s="9" t="str">
        <f>HYPERLINK("http://www.eatonpowersource.com/products/configure/pumps/details/70453-lbv","70453-LBV")</f>
        <v>70453-LBV</v>
      </c>
      <c r="B12864" s="10" t="s">
        <v>12430</v>
      </c>
    </row>
    <row r="12865" spans="1:2" x14ac:dyDescent="0.3">
      <c r="A12865" s="7" t="str">
        <f>HYPERLINK("http://www.eatonpowersource.com/products/configure/pumps/details/70453-rar","70453-RAR")</f>
        <v>70453-RAR</v>
      </c>
      <c r="B12865" s="8" t="s">
        <v>12431</v>
      </c>
    </row>
    <row r="12866" spans="1:2" x14ac:dyDescent="0.3">
      <c r="A12866" s="9" t="str">
        <f>HYPERLINK("http://www.eatonpowersource.com/products/configure/pumps/details/70453-rbb","70453-RBB")</f>
        <v>70453-RBB</v>
      </c>
      <c r="B12866" s="10" t="s">
        <v>12432</v>
      </c>
    </row>
    <row r="12867" spans="1:2" x14ac:dyDescent="0.3">
      <c r="A12867" s="7" t="str">
        <f>HYPERLINK("http://www.eatonpowersource.com/products/configure/pumps/details/70453-rbf","70453-RBF")</f>
        <v>70453-RBF</v>
      </c>
      <c r="B12867" s="8" t="s">
        <v>12433</v>
      </c>
    </row>
    <row r="12868" spans="1:2" x14ac:dyDescent="0.3">
      <c r="A12868" s="9" t="str">
        <f>HYPERLINK("http://www.eatonpowersource.com/products/configure/pumps/details/70453-rca","70453-RCA")</f>
        <v>70453-RCA</v>
      </c>
      <c r="B12868" s="10" t="s">
        <v>12434</v>
      </c>
    </row>
    <row r="12869" spans="1:2" x14ac:dyDescent="0.3">
      <c r="A12869" s="7" t="str">
        <f>HYPERLINK("http://www.eatonpowersource.com/products/configure/pumps/details/70453-rcc","70453-RCC")</f>
        <v>70453-RCC</v>
      </c>
      <c r="B12869" s="8" t="s">
        <v>12435</v>
      </c>
    </row>
    <row r="12870" spans="1:2" x14ac:dyDescent="0.3">
      <c r="A12870" s="9" t="str">
        <f>HYPERLINK("http://www.eatonpowersource.com/products/configure/pumps/details/70453-rcg","70453-RCG")</f>
        <v>70453-RCG</v>
      </c>
      <c r="B12870" s="10" t="s">
        <v>12436</v>
      </c>
    </row>
    <row r="12871" spans="1:2" x14ac:dyDescent="0.3">
      <c r="A12871" s="7" t="str">
        <f>HYPERLINK("http://www.eatonpowersource.com/products/configure/pumps/details/70523-gn-06","70523-GN-06")</f>
        <v>70523-GN-06</v>
      </c>
      <c r="B12871" s="8" t="s">
        <v>12437</v>
      </c>
    </row>
    <row r="12872" spans="1:2" x14ac:dyDescent="0.3">
      <c r="A12872" s="9" t="str">
        <f>HYPERLINK("http://www.eatonpowersource.com/products/configure/pumps/details/70523-laa","70523-LAA")</f>
        <v>70523-LAA</v>
      </c>
      <c r="B12872" s="10" t="s">
        <v>12438</v>
      </c>
    </row>
    <row r="12873" spans="1:2" x14ac:dyDescent="0.3">
      <c r="A12873" s="7" t="str">
        <f>HYPERLINK("http://www.eatonpowersource.com/products/configure/pumps/details/70523-lab","70523-LAB")</f>
        <v>70523-LAB</v>
      </c>
      <c r="B12873" s="8" t="s">
        <v>12439</v>
      </c>
    </row>
    <row r="12874" spans="1:2" x14ac:dyDescent="0.3">
      <c r="A12874" s="9" t="str">
        <f>HYPERLINK("http://www.eatonpowersource.com/products/configure/pumps/details/70523-lbf","70523-LBF")</f>
        <v>70523-LBF</v>
      </c>
      <c r="B12874" s="10" t="s">
        <v>12440</v>
      </c>
    </row>
    <row r="12875" spans="1:2" x14ac:dyDescent="0.3">
      <c r="A12875" s="7" t="str">
        <f>HYPERLINK("http://www.eatonpowersource.com/products/configure/pumps/details/70523-lbx","70523-LBX")</f>
        <v>70523-LBX</v>
      </c>
      <c r="B12875" s="8" t="s">
        <v>12441</v>
      </c>
    </row>
    <row r="12876" spans="1:2" x14ac:dyDescent="0.3">
      <c r="A12876" s="9" t="str">
        <f>HYPERLINK("http://www.eatonpowersource.com/products/configure/pumps/details/70523-lcj","70523-LCJ")</f>
        <v>70523-LCJ</v>
      </c>
      <c r="B12876" s="10" t="s">
        <v>12442</v>
      </c>
    </row>
    <row r="12877" spans="1:2" x14ac:dyDescent="0.3">
      <c r="A12877" s="7" t="str">
        <f>HYPERLINK("http://www.eatonpowersource.com/products/configure/pumps/details/70523-raa","70523-RAA")</f>
        <v>70523-RAA</v>
      </c>
      <c r="B12877" s="8" t="s">
        <v>12443</v>
      </c>
    </row>
    <row r="12878" spans="1:2" x14ac:dyDescent="0.3">
      <c r="A12878" s="9" t="str">
        <f>HYPERLINK("http://www.eatonpowersource.com/products/configure/pumps/details/70523-rab","70523-RAB")</f>
        <v>70523-RAB</v>
      </c>
      <c r="B12878" s="10" t="s">
        <v>12444</v>
      </c>
    </row>
    <row r="12879" spans="1:2" x14ac:dyDescent="0.3">
      <c r="A12879" s="7" t="str">
        <f>HYPERLINK("http://www.eatonpowersource.com/products/configure/pumps/details/70523-rag","70523-RAG")</f>
        <v>70523-RAG</v>
      </c>
      <c r="B12879" s="8" t="s">
        <v>12445</v>
      </c>
    </row>
    <row r="12880" spans="1:2" x14ac:dyDescent="0.3">
      <c r="A12880" s="9" t="str">
        <f>HYPERLINK("http://www.eatonpowersource.com/products/configure/pumps/details/70523-rbe","70523-RBE")</f>
        <v>70523-RBE</v>
      </c>
      <c r="B12880" s="10" t="s">
        <v>12446</v>
      </c>
    </row>
    <row r="12881" spans="1:2" x14ac:dyDescent="0.3">
      <c r="A12881" s="7" t="str">
        <f>HYPERLINK("http://www.eatonpowersource.com/products/configure/pumps/details/70523-rbj","70523-RBJ")</f>
        <v>70523-RBJ</v>
      </c>
      <c r="B12881" s="8" t="s">
        <v>12447</v>
      </c>
    </row>
    <row r="12882" spans="1:2" x14ac:dyDescent="0.3">
      <c r="A12882" s="9" t="str">
        <f>HYPERLINK("http://www.eatonpowersource.com/products/configure/pumps/details/70523-rbk","70523-RBK")</f>
        <v>70523-RBK</v>
      </c>
      <c r="B12882" s="10" t="s">
        <v>12448</v>
      </c>
    </row>
    <row r="12883" spans="1:2" x14ac:dyDescent="0.3">
      <c r="A12883" s="7" t="str">
        <f>HYPERLINK("http://www.eatonpowersource.com/products/configure/pumps/details/70553-lab","70553-LAB")</f>
        <v>70553-LAB</v>
      </c>
      <c r="B12883" s="8" t="s">
        <v>12449</v>
      </c>
    </row>
    <row r="12884" spans="1:2" x14ac:dyDescent="0.3">
      <c r="A12884" s="9" t="str">
        <f>HYPERLINK("http://www.eatonpowersource.com/products/configure/pumps/details/70553-lar","70553-LAR")</f>
        <v>70553-LAR</v>
      </c>
      <c r="B12884" s="10" t="s">
        <v>12450</v>
      </c>
    </row>
    <row r="12885" spans="1:2" x14ac:dyDescent="0.3">
      <c r="A12885" s="7" t="str">
        <f>HYPERLINK("http://www.eatonpowersource.com/products/configure/pumps/details/70553-laz","70553-LAZ")</f>
        <v>70553-LAZ</v>
      </c>
      <c r="B12885" s="8" t="s">
        <v>12451</v>
      </c>
    </row>
    <row r="12886" spans="1:2" x14ac:dyDescent="0.3">
      <c r="A12886" s="9" t="str">
        <f>HYPERLINK("http://www.eatonpowersource.com/products/configure/pumps/details/70553-rab","70553-RAB")</f>
        <v>70553-RAB</v>
      </c>
      <c r="B12886" s="10" t="s">
        <v>12452</v>
      </c>
    </row>
    <row r="12887" spans="1:2" x14ac:dyDescent="0.3">
      <c r="A12887" s="7" t="str">
        <f>HYPERLINK("http://www.eatonpowersource.com/products/configure/pumps/details/70553-rbs","70553-RBS")</f>
        <v>70553-RBS</v>
      </c>
      <c r="B12887" s="8" t="s">
        <v>12453</v>
      </c>
    </row>
    <row r="12888" spans="1:2" x14ac:dyDescent="0.3">
      <c r="A12888" s="9" t="str">
        <f>HYPERLINK("http://www.eatonpowersource.com/products/configure/pumps/details/71392-dab","71392-DAB")</f>
        <v>71392-DAB</v>
      </c>
      <c r="B12888" s="10" t="s">
        <v>12454</v>
      </c>
    </row>
    <row r="12889" spans="1:2" x14ac:dyDescent="0.3">
      <c r="A12889" s="7" t="str">
        <f>HYPERLINK("http://www.eatonpowersource.com/products/configure/pumps/details/71392-dae","71392-DAE")</f>
        <v>71392-DAE</v>
      </c>
      <c r="B12889" s="8" t="s">
        <v>12455</v>
      </c>
    </row>
    <row r="12890" spans="1:2" x14ac:dyDescent="0.3">
      <c r="A12890" s="9" t="str">
        <f>HYPERLINK("http://www.eatonpowersource.com/products/configure/pumps/details/71392-daj","71392-DAJ")</f>
        <v>71392-DAJ</v>
      </c>
      <c r="B12890" s="10" t="s">
        <v>12456</v>
      </c>
    </row>
    <row r="12891" spans="1:2" x14ac:dyDescent="0.3">
      <c r="A12891" s="7" t="str">
        <f>HYPERLINK("http://www.eatonpowersource.com/products/configure/pumps/details/71392-dam","71392-DAM")</f>
        <v>71392-DAM</v>
      </c>
      <c r="B12891" s="8" t="s">
        <v>12457</v>
      </c>
    </row>
    <row r="12892" spans="1:2" x14ac:dyDescent="0.3">
      <c r="A12892" s="9" t="str">
        <f>HYPERLINK("http://www.eatonpowersource.com/products/configure/pumps/details/71392-dbp","71392-DBP")</f>
        <v>71392-DBP</v>
      </c>
      <c r="B12892" s="10" t="s">
        <v>12458</v>
      </c>
    </row>
    <row r="12893" spans="1:2" x14ac:dyDescent="0.3">
      <c r="A12893" s="7" t="str">
        <f>HYPERLINK("http://www.eatonpowersource.com/products/configure/pumps/details/71392-dbs","71392-DBS")</f>
        <v>71392-DBS</v>
      </c>
      <c r="B12893" s="8" t="s">
        <v>12459</v>
      </c>
    </row>
    <row r="12894" spans="1:2" x14ac:dyDescent="0.3">
      <c r="A12894" s="9" t="str">
        <f>HYPERLINK("http://www.eatonpowersource.com/products/configure/pumps/details/72400-029-04","72400-029-04")</f>
        <v>72400-029-04</v>
      </c>
      <c r="B12894" s="10" t="s">
        <v>12460</v>
      </c>
    </row>
    <row r="12895" spans="1:2" x14ac:dyDescent="0.3">
      <c r="A12895" s="7" t="str">
        <f>HYPERLINK("http://www.eatonpowersource.com/products/configure/pumps/details/72400-031-04","72400-031-04")</f>
        <v>72400-031-04</v>
      </c>
      <c r="B12895" s="8" t="s">
        <v>12461</v>
      </c>
    </row>
    <row r="12896" spans="1:2" x14ac:dyDescent="0.3">
      <c r="A12896" s="9" t="str">
        <f>HYPERLINK("http://www.eatonpowersource.com/products/configure/pumps/details/72400-033-04","72400-033-04")</f>
        <v>72400-033-04</v>
      </c>
      <c r="B12896" s="10" t="s">
        <v>12462</v>
      </c>
    </row>
    <row r="12897" spans="1:2" x14ac:dyDescent="0.3">
      <c r="A12897" s="7" t="str">
        <f>HYPERLINK("http://www.eatonpowersource.com/products/configure/pumps/details/72400-034-04","72400-034-04")</f>
        <v>72400-034-04</v>
      </c>
      <c r="B12897" s="8" t="s">
        <v>12463</v>
      </c>
    </row>
    <row r="12898" spans="1:2" x14ac:dyDescent="0.3">
      <c r="A12898" s="9" t="str">
        <f>HYPERLINK("http://www.eatonpowersource.com/products/configure/pumps/details/72400-037-04","72400-037-04")</f>
        <v>72400-037-04</v>
      </c>
      <c r="B12898" s="10" t="s">
        <v>12464</v>
      </c>
    </row>
    <row r="12899" spans="1:2" x14ac:dyDescent="0.3">
      <c r="A12899" s="7" t="str">
        <f>HYPERLINK("http://www.eatonpowersource.com/products/configure/pumps/details/72400-091-04","72400-091-04")</f>
        <v>72400-091-04</v>
      </c>
      <c r="B12899" s="8" t="s">
        <v>12465</v>
      </c>
    </row>
    <row r="12900" spans="1:2" x14ac:dyDescent="0.3">
      <c r="A12900" s="9" t="str">
        <f>HYPERLINK("http://www.eatonpowersource.com/products/configure/pumps/details/72400-093-04","72400-093-04")</f>
        <v>72400-093-04</v>
      </c>
      <c r="B12900" s="10" t="s">
        <v>12466</v>
      </c>
    </row>
    <row r="12901" spans="1:2" x14ac:dyDescent="0.3">
      <c r="A12901" s="7" t="str">
        <f>HYPERLINK("http://www.eatonpowersource.com/products/configure/pumps/details/72400-lhp-04","72400-LHP-04")</f>
        <v>72400-LHP-04</v>
      </c>
      <c r="B12901" s="8" t="s">
        <v>12467</v>
      </c>
    </row>
    <row r="12902" spans="1:2" x14ac:dyDescent="0.3">
      <c r="A12902" s="9" t="str">
        <f>HYPERLINK("http://www.eatonpowersource.com/products/configure/pumps/details/72400-ljr-04","72400-LJR-04")</f>
        <v>72400-LJR-04</v>
      </c>
      <c r="B12902" s="10" t="s">
        <v>12468</v>
      </c>
    </row>
    <row r="12903" spans="1:2" x14ac:dyDescent="0.3">
      <c r="A12903" s="7" t="str">
        <f>HYPERLINK("http://www.eatonpowersource.com/products/configure/pumps/details/72400-ljs-04","72400-LJS-04")</f>
        <v>72400-LJS-04</v>
      </c>
      <c r="B12903" s="8" t="s">
        <v>12469</v>
      </c>
    </row>
    <row r="12904" spans="1:2" x14ac:dyDescent="0.3">
      <c r="A12904" s="9" t="str">
        <f>HYPERLINK("http://www.eatonpowersource.com/products/configure/pumps/details/72400-lnw-04","72400-LNW-04")</f>
        <v>72400-LNW-04</v>
      </c>
      <c r="B12904" s="10" t="s">
        <v>12470</v>
      </c>
    </row>
    <row r="12905" spans="1:2" x14ac:dyDescent="0.3">
      <c r="A12905" s="7" t="str">
        <f>HYPERLINK("http://www.eatonpowersource.com/products/configure/pumps/details/72400-lpe-04","72400-LPE-04")</f>
        <v>72400-LPE-04</v>
      </c>
      <c r="B12905" s="8" t="s">
        <v>12471</v>
      </c>
    </row>
    <row r="12906" spans="1:2" x14ac:dyDescent="0.3">
      <c r="A12906" s="9" t="str">
        <f>HYPERLINK("http://www.eatonpowersource.com/products/configure/pumps/details/72400-lpf-04","72400-LPF-04")</f>
        <v>72400-LPF-04</v>
      </c>
      <c r="B12906" s="10" t="s">
        <v>12472</v>
      </c>
    </row>
    <row r="12907" spans="1:2" x14ac:dyDescent="0.3">
      <c r="A12907" s="7" t="str">
        <f>HYPERLINK("http://www.eatonpowersource.com/products/configure/pumps/details/72400-lrb-04","72400-LRB-04")</f>
        <v>72400-LRB-04</v>
      </c>
      <c r="B12907" s="8" t="s">
        <v>12473</v>
      </c>
    </row>
    <row r="12908" spans="1:2" x14ac:dyDescent="0.3">
      <c r="A12908" s="9" t="str">
        <f>HYPERLINK("http://www.eatonpowersource.com/products/configure/pumps/details/72400-lre-04","72400-LRE-04")</f>
        <v>72400-LRE-04</v>
      </c>
      <c r="B12908" s="10" t="s">
        <v>12474</v>
      </c>
    </row>
    <row r="12909" spans="1:2" x14ac:dyDescent="0.3">
      <c r="A12909" s="7" t="str">
        <f>HYPERLINK("http://www.eatonpowersource.com/products/configure/pumps/details/72400-lrs-04","72400-LRS-04")</f>
        <v>72400-LRS-04</v>
      </c>
      <c r="B12909" s="8" t="s">
        <v>12475</v>
      </c>
    </row>
    <row r="12910" spans="1:2" x14ac:dyDescent="0.3">
      <c r="A12910" s="9" t="str">
        <f>HYPERLINK("http://www.eatonpowersource.com/products/configure/pumps/details/72400-rad-04","72400-RAD-04")</f>
        <v>72400-RAD-04</v>
      </c>
      <c r="B12910" s="10" t="s">
        <v>12476</v>
      </c>
    </row>
    <row r="12911" spans="1:2" x14ac:dyDescent="0.3">
      <c r="A12911" s="7" t="str">
        <f>HYPERLINK("http://www.eatonpowersource.com/products/configure/pumps/details/72400-raf-04","72400-RAF-04")</f>
        <v>72400-RAF-04</v>
      </c>
      <c r="B12911" s="8" t="s">
        <v>12477</v>
      </c>
    </row>
    <row r="12912" spans="1:2" x14ac:dyDescent="0.3">
      <c r="A12912" s="9" t="str">
        <f>HYPERLINK("http://www.eatonpowersource.com/products/configure/pumps/details/72400-rak-04","72400-RAK-04")</f>
        <v>72400-RAK-04</v>
      </c>
      <c r="B12912" s="10" t="s">
        <v>12478</v>
      </c>
    </row>
    <row r="12913" spans="1:2" x14ac:dyDescent="0.3">
      <c r="A12913" s="7" t="str">
        <f>HYPERLINK("http://www.eatonpowersource.com/products/configure/pumps/details/72400-ral-04","72400-RAL-04")</f>
        <v>72400-RAL-04</v>
      </c>
      <c r="B12913" s="8" t="s">
        <v>12479</v>
      </c>
    </row>
    <row r="12914" spans="1:2" x14ac:dyDescent="0.3">
      <c r="A12914" s="9" t="str">
        <f>HYPERLINK("http://www.eatonpowersource.com/products/configure/pumps/details/72400-raz-04","72400-RAZ-04")</f>
        <v>72400-RAZ-04</v>
      </c>
      <c r="B12914" s="10" t="s">
        <v>12480</v>
      </c>
    </row>
    <row r="12915" spans="1:2" x14ac:dyDescent="0.3">
      <c r="A12915" s="7" t="str">
        <f>HYPERLINK("http://www.eatonpowersource.com/products/configure/pumps/details/72400-rba-04","72400-RBA-04")</f>
        <v>72400-RBA-04</v>
      </c>
      <c r="B12915" s="8" t="s">
        <v>12481</v>
      </c>
    </row>
    <row r="12916" spans="1:2" x14ac:dyDescent="0.3">
      <c r="A12916" s="9" t="str">
        <f>HYPERLINK("http://www.eatonpowersource.com/products/configure/pumps/details/72400-rbb-04","72400-RBB-04")</f>
        <v>72400-RBB-04</v>
      </c>
      <c r="B12916" s="10" t="s">
        <v>12482</v>
      </c>
    </row>
    <row r="12917" spans="1:2" x14ac:dyDescent="0.3">
      <c r="A12917" s="7" t="str">
        <f>HYPERLINK("http://www.eatonpowersource.com/products/configure/pumps/details/72400-red-04","72400-RED-04")</f>
        <v>72400-RED-04</v>
      </c>
      <c r="B12917" s="8" t="s">
        <v>12483</v>
      </c>
    </row>
    <row r="12918" spans="1:2" x14ac:dyDescent="0.3">
      <c r="A12918" s="9" t="str">
        <f>HYPERLINK("http://www.eatonpowersource.com/products/configure/pumps/details/72400-rer-04","72400-RER-04")</f>
        <v>72400-RER-04</v>
      </c>
      <c r="B12918" s="10" t="s">
        <v>12484</v>
      </c>
    </row>
    <row r="12919" spans="1:2" x14ac:dyDescent="0.3">
      <c r="A12919" s="7" t="str">
        <f>HYPERLINK("http://www.eatonpowersource.com/products/configure/pumps/details/72400-rfj-04","72400-RFJ-04")</f>
        <v>72400-RFJ-04</v>
      </c>
      <c r="B12919" s="8" t="s">
        <v>12485</v>
      </c>
    </row>
    <row r="12920" spans="1:2" x14ac:dyDescent="0.3">
      <c r="A12920" s="9" t="str">
        <f>HYPERLINK("http://www.eatonpowersource.com/products/configure/pumps/details/72400-rgf-04","72400-RGF-04")</f>
        <v>72400-RGF-04</v>
      </c>
      <c r="B12920" s="10" t="s">
        <v>12486</v>
      </c>
    </row>
    <row r="12921" spans="1:2" x14ac:dyDescent="0.3">
      <c r="A12921" s="7" t="str">
        <f>HYPERLINK("http://www.eatonpowersource.com/products/configure/pumps/details/72400-rif-04","72400-RIF-04")</f>
        <v>72400-RIF-04</v>
      </c>
      <c r="B12921" s="8" t="s">
        <v>12487</v>
      </c>
    </row>
    <row r="12922" spans="1:2" x14ac:dyDescent="0.3">
      <c r="A12922" s="9" t="str">
        <f>HYPERLINK("http://www.eatonpowersource.com/products/configure/pumps/details/72400-rih-04","72400-RIH-04")</f>
        <v>72400-RIH-04</v>
      </c>
      <c r="B12922" s="10" t="s">
        <v>12488</v>
      </c>
    </row>
    <row r="12923" spans="1:2" x14ac:dyDescent="0.3">
      <c r="A12923" s="7" t="str">
        <f>HYPERLINK("http://www.eatonpowersource.com/products/configure/pumps/details/72400-rjw-04","72400-RJW-04")</f>
        <v>72400-RJW-04</v>
      </c>
      <c r="B12923" s="8" t="s">
        <v>12489</v>
      </c>
    </row>
    <row r="12924" spans="1:2" x14ac:dyDescent="0.3">
      <c r="A12924" s="9" t="str">
        <f>HYPERLINK("http://www.eatonpowersource.com/products/configure/pumps/details/72400-rmp-04","72400-RMP-04")</f>
        <v>72400-RMP-04</v>
      </c>
      <c r="B12924" s="10" t="s">
        <v>12490</v>
      </c>
    </row>
    <row r="12925" spans="1:2" x14ac:dyDescent="0.3">
      <c r="A12925" s="7" t="str">
        <f>HYPERLINK("http://www.eatonpowersource.com/products/configure/pumps/details/72400-rnj-04","72400-RNJ-04")</f>
        <v>72400-RNJ-04</v>
      </c>
      <c r="B12925" s="8" t="s">
        <v>12491</v>
      </c>
    </row>
    <row r="12926" spans="1:2" x14ac:dyDescent="0.3">
      <c r="A12926" s="9" t="str">
        <f>HYPERLINK("http://www.eatonpowersource.com/products/configure/pumps/details/72400-rnl-04","72400-RNL-04")</f>
        <v>72400-RNL-04</v>
      </c>
      <c r="B12926" s="10" t="s">
        <v>12492</v>
      </c>
    </row>
    <row r="12927" spans="1:2" x14ac:dyDescent="0.3">
      <c r="A12927" s="7" t="str">
        <f>HYPERLINK("http://www.eatonpowersource.com/products/configure/pumps/details/72400-rpr-04","72400-RPR-04")</f>
        <v>72400-RPR-04</v>
      </c>
      <c r="B12927" s="8" t="s">
        <v>12493</v>
      </c>
    </row>
    <row r="12928" spans="1:2" x14ac:dyDescent="0.3">
      <c r="A12928" s="9" t="str">
        <f>HYPERLINK("http://www.eatonpowersource.com/products/configure/pumps/details/72400-rrz-04","72400-RRZ-04")</f>
        <v>72400-RRZ-04</v>
      </c>
      <c r="B12928" s="10" t="s">
        <v>12494</v>
      </c>
    </row>
    <row r="12929" spans="1:2" x14ac:dyDescent="0.3">
      <c r="A12929" s="7" t="str">
        <f>HYPERLINK("http://www.eatonpowersource.com/products/configure/pumps/details/72400-rsc-04","72400-RSC-04")</f>
        <v>72400-RSC-04</v>
      </c>
      <c r="B12929" s="8" t="s">
        <v>12495</v>
      </c>
    </row>
    <row r="12930" spans="1:2" x14ac:dyDescent="0.3">
      <c r="A12930" s="9" t="str">
        <f>HYPERLINK("http://www.eatonpowersource.com/products/configure/pumps/details/72400-rst-04","72400-RST-04")</f>
        <v>72400-RST-04</v>
      </c>
      <c r="B12930" s="10" t="s">
        <v>12496</v>
      </c>
    </row>
    <row r="12931" spans="1:2" x14ac:dyDescent="0.3">
      <c r="A12931" s="7" t="str">
        <f>HYPERLINK("http://www.eatonpowersource.com/products/configure/pumps/details/72400-rsw-04","72400-RSW-04")</f>
        <v>72400-RSW-04</v>
      </c>
      <c r="B12931" s="8" t="s">
        <v>12497</v>
      </c>
    </row>
    <row r="12932" spans="1:2" x14ac:dyDescent="0.3">
      <c r="A12932" s="9" t="str">
        <f>HYPERLINK("http://www.eatonpowersource.com/products/configure/pumps/details/72400-ruf-04","72400-RUF-04")</f>
        <v>72400-RUF-04</v>
      </c>
      <c r="B12932" s="10" t="s">
        <v>12498</v>
      </c>
    </row>
    <row r="12933" spans="1:2" x14ac:dyDescent="0.3">
      <c r="A12933" s="7" t="str">
        <f>HYPERLINK("http://www.eatonpowersource.com/products/configure/pumps/details/72400-ruk-04","72400-RUK-04")</f>
        <v>72400-RUK-04</v>
      </c>
      <c r="B12933" s="8" t="s">
        <v>12499</v>
      </c>
    </row>
    <row r="12934" spans="1:2" x14ac:dyDescent="0.3">
      <c r="A12934" s="9" t="str">
        <f>HYPERLINK("http://www.eatonpowersource.com/products/configure/pumps/details/72400-rxd-04","72400-RXD-04")</f>
        <v>72400-RXD-04</v>
      </c>
      <c r="B12934" s="10" t="s">
        <v>12500</v>
      </c>
    </row>
    <row r="12935" spans="1:2" x14ac:dyDescent="0.3">
      <c r="A12935" s="7" t="str">
        <f>HYPERLINK("http://www.eatonpowersource.com/products/configure/pumps/details/72400-rxf-04","72400-RXF-04")</f>
        <v>72400-RXF-04</v>
      </c>
      <c r="B12935" s="8" t="s">
        <v>12501</v>
      </c>
    </row>
    <row r="12936" spans="1:2" x14ac:dyDescent="0.3">
      <c r="A12936" s="9" t="str">
        <f>HYPERLINK("http://www.eatonpowersource.com/products/configure/pumps/details/72400-rxy-04","72400-RXY-04")</f>
        <v>72400-RXY-04</v>
      </c>
      <c r="B12936" s="10" t="s">
        <v>12502</v>
      </c>
    </row>
    <row r="12937" spans="1:2" x14ac:dyDescent="0.3">
      <c r="A12937" s="7" t="str">
        <f>HYPERLINK("http://www.eatonpowersource.com/products/configure/pumps/details/72400-rxz-04","72400-RXZ-04")</f>
        <v>72400-RXZ-04</v>
      </c>
      <c r="B12937" s="8" t="s">
        <v>12503</v>
      </c>
    </row>
    <row r="12938" spans="1:2" x14ac:dyDescent="0.3">
      <c r="A12938" s="9" t="str">
        <f>HYPERLINK("http://www.eatonpowersource.com/products/configure/pumps/details/72400-ryw-04","72400-RYW-04")</f>
        <v>72400-RYW-04</v>
      </c>
      <c r="B12938" s="10" t="s">
        <v>12504</v>
      </c>
    </row>
    <row r="12939" spans="1:2" x14ac:dyDescent="0.3">
      <c r="A12939" s="7" t="str">
        <f>HYPERLINK("http://www.eatonpowersource.com/products/configure/pumps/details/72400-rzf-04","72400-RZF-04")</f>
        <v>72400-RZF-04</v>
      </c>
      <c r="B12939" s="8" t="s">
        <v>12505</v>
      </c>
    </row>
    <row r="12940" spans="1:2" x14ac:dyDescent="0.3">
      <c r="A12940" s="9" t="str">
        <f>HYPERLINK("http://www.eatonpowersource.com/products/configure/pumps/details/72400-rzo-04","72400-RZO-04")</f>
        <v>72400-RZO-04</v>
      </c>
      <c r="B12940" s="10" t="s">
        <v>12506</v>
      </c>
    </row>
    <row r="12941" spans="1:2" x14ac:dyDescent="0.3">
      <c r="A12941" s="7" t="str">
        <f>HYPERLINK("http://www.eatonpowersource.com/products/configure/pumps/details/72400-san-04","72400-SAN-04")</f>
        <v>72400-SAN-04</v>
      </c>
      <c r="B12941" s="8" t="s">
        <v>12507</v>
      </c>
    </row>
    <row r="12942" spans="1:2" x14ac:dyDescent="0.3">
      <c r="A12942" s="9" t="str">
        <f>HYPERLINK("http://www.eatonpowersource.com/products/configure/pumps/details/72400-sas-04","72400-SAS-04")</f>
        <v>72400-SAS-04</v>
      </c>
      <c r="B12942" s="10" t="s">
        <v>12508</v>
      </c>
    </row>
    <row r="12943" spans="1:2" x14ac:dyDescent="0.3">
      <c r="A12943" s="7" t="str">
        <f>HYPERLINK("http://www.eatonpowersource.com/products/configure/pumps/details/72400-sdr-04","72400-SDR-04")</f>
        <v>72400-SDR-04</v>
      </c>
      <c r="B12943" s="8" t="s">
        <v>12509</v>
      </c>
    </row>
    <row r="12944" spans="1:2" x14ac:dyDescent="0.3">
      <c r="A12944" s="9" t="str">
        <f>HYPERLINK("http://www.eatonpowersource.com/products/configure/pumps/details/72400-seb-04","72400-SEB-04")</f>
        <v>72400-SEB-04</v>
      </c>
      <c r="B12944" s="10" t="s">
        <v>12510</v>
      </c>
    </row>
    <row r="12945" spans="1:2" x14ac:dyDescent="0.3">
      <c r="A12945" s="7" t="str">
        <f>HYPERLINK("http://www.eatonpowersource.com/products/configure/pumps/details/72400-sfn-04","72400-SFN-04")</f>
        <v>72400-SFN-04</v>
      </c>
      <c r="B12945" s="8" t="s">
        <v>12511</v>
      </c>
    </row>
    <row r="12946" spans="1:2" x14ac:dyDescent="0.3">
      <c r="A12946" s="9" t="str">
        <f>HYPERLINK("http://www.eatonpowersource.com/products/configure/pumps/details/72400-sfw-04","72400-SFW-04")</f>
        <v>72400-SFW-04</v>
      </c>
      <c r="B12946" s="10" t="s">
        <v>12512</v>
      </c>
    </row>
    <row r="12947" spans="1:2" x14ac:dyDescent="0.3">
      <c r="A12947" s="7" t="str">
        <f>HYPERLINK("http://www.eatonpowersource.com/products/configure/pumps/details/72400-sja-04","72400-SJA-04")</f>
        <v>72400-SJA-04</v>
      </c>
      <c r="B12947" s="8" t="s">
        <v>12513</v>
      </c>
    </row>
    <row r="12948" spans="1:2" x14ac:dyDescent="0.3">
      <c r="A12948" s="9" t="str">
        <f>HYPERLINK("http://www.eatonpowersource.com/products/configure/pumps/details/72400-sjk-04","72400-SJK-04")</f>
        <v>72400-SJK-04</v>
      </c>
      <c r="B12948" s="10" t="s">
        <v>12514</v>
      </c>
    </row>
    <row r="12949" spans="1:2" x14ac:dyDescent="0.3">
      <c r="A12949" s="7" t="str">
        <f>HYPERLINK("http://www.eatonpowersource.com/products/configure/pumps/details/72400-sjt-04","72400-SJT-04")</f>
        <v>72400-SJT-04</v>
      </c>
      <c r="B12949" s="8" t="s">
        <v>12515</v>
      </c>
    </row>
    <row r="12950" spans="1:2" x14ac:dyDescent="0.3">
      <c r="A12950" s="9" t="str">
        <f>HYPERLINK("http://www.eatonpowersource.com/products/configure/pumps/details/72400-sjv-04","72400-SJV-04")</f>
        <v>72400-SJV-04</v>
      </c>
      <c r="B12950" s="10" t="s">
        <v>12516</v>
      </c>
    </row>
    <row r="12951" spans="1:2" x14ac:dyDescent="0.3">
      <c r="A12951" s="7" t="str">
        <f>HYPERLINK("http://www.eatonpowersource.com/products/configure/pumps/details/72400-slc-04","72400-SLC-04")</f>
        <v>72400-SLC-04</v>
      </c>
      <c r="B12951" s="8" t="s">
        <v>12517</v>
      </c>
    </row>
    <row r="12952" spans="1:2" x14ac:dyDescent="0.3">
      <c r="A12952" s="9" t="str">
        <f>HYPERLINK("http://www.eatonpowersource.com/products/configure/pumps/details/72400-spk-04","72400-SPK-04")</f>
        <v>72400-SPK-04</v>
      </c>
      <c r="B12952" s="10" t="s">
        <v>12518</v>
      </c>
    </row>
    <row r="12953" spans="1:2" x14ac:dyDescent="0.3">
      <c r="A12953" s="7" t="str">
        <f>HYPERLINK("http://www.eatonpowersource.com/products/configure/pumps/details/72400-spz-04","72400-SPZ-04")</f>
        <v>72400-SPZ-04</v>
      </c>
      <c r="B12953" s="8" t="s">
        <v>12519</v>
      </c>
    </row>
    <row r="12954" spans="1:2" x14ac:dyDescent="0.3">
      <c r="A12954" s="9" t="str">
        <f>HYPERLINK("http://www.eatonpowersource.com/products/configure/pumps/details/72400-ssr-04","72400-SSR-04")</f>
        <v>72400-SSR-04</v>
      </c>
      <c r="B12954" s="10" t="s">
        <v>12520</v>
      </c>
    </row>
    <row r="12955" spans="1:2" x14ac:dyDescent="0.3">
      <c r="A12955" s="7" t="str">
        <f>HYPERLINK("http://www.eatonpowersource.com/products/configure/pumps/details/72400-sta-04","72400-STA-04")</f>
        <v>72400-STA-04</v>
      </c>
      <c r="B12955" s="8" t="s">
        <v>12521</v>
      </c>
    </row>
    <row r="12956" spans="1:2" x14ac:dyDescent="0.3">
      <c r="A12956" s="9" t="str">
        <f>HYPERLINK("http://www.eatonpowersource.com/products/configure/pumps/details/72400-ste-04","72400-STE-04")</f>
        <v>72400-STE-04</v>
      </c>
      <c r="B12956" s="10" t="s">
        <v>12522</v>
      </c>
    </row>
    <row r="12957" spans="1:2" x14ac:dyDescent="0.3">
      <c r="A12957" s="7" t="str">
        <f>HYPERLINK("http://www.eatonpowersource.com/products/configure/pumps/details/72400-stm-04","72400-STM-04")</f>
        <v>72400-STM-04</v>
      </c>
      <c r="B12957" s="8" t="s">
        <v>12523</v>
      </c>
    </row>
    <row r="12958" spans="1:2" x14ac:dyDescent="0.3">
      <c r="A12958" s="9" t="str">
        <f>HYPERLINK("http://www.eatonpowersource.com/products/configure/pumps/details/72400-sut-04","72400-SUT-04")</f>
        <v>72400-SUT-04</v>
      </c>
      <c r="B12958" s="10" t="s">
        <v>12524</v>
      </c>
    </row>
    <row r="12959" spans="1:2" x14ac:dyDescent="0.3">
      <c r="A12959" s="7" t="str">
        <f>HYPERLINK("http://www.eatonpowersource.com/products/configure/pumps/details/72400-swc-04","72400-SWC-04")</f>
        <v>72400-SWC-04</v>
      </c>
      <c r="B12959" s="8" t="s">
        <v>12525</v>
      </c>
    </row>
    <row r="12960" spans="1:2" x14ac:dyDescent="0.3">
      <c r="A12960" s="9" t="str">
        <f>HYPERLINK("http://www.eatonpowersource.com/products/configure/pumps/details/72400-swd-04","72400-SWD-04")</f>
        <v>72400-SWD-04</v>
      </c>
      <c r="B12960" s="10" t="s">
        <v>12526</v>
      </c>
    </row>
    <row r="12961" spans="1:2" x14ac:dyDescent="0.3">
      <c r="A12961" s="7" t="str">
        <f>HYPERLINK("http://www.eatonpowersource.com/products/configure/pumps/details/72400-tac-04","72400-TAC-04")</f>
        <v>72400-TAC-04</v>
      </c>
      <c r="B12961" s="8" t="s">
        <v>12527</v>
      </c>
    </row>
    <row r="12962" spans="1:2" x14ac:dyDescent="0.3">
      <c r="A12962" s="9" t="str">
        <f>HYPERLINK("http://www.eatonpowersource.com/products/configure/pumps/details/72400-tal-04","72400-TAL-04")</f>
        <v>72400-TAL-04</v>
      </c>
      <c r="B12962" s="10" t="s">
        <v>12528</v>
      </c>
    </row>
    <row r="12963" spans="1:2" x14ac:dyDescent="0.3">
      <c r="A12963" s="7" t="str">
        <f>HYPERLINK("http://www.eatonpowersource.com/products/configure/pumps/details/72401-ar","72401-AR")</f>
        <v>72401-AR</v>
      </c>
      <c r="B12963" s="8" t="s">
        <v>12529</v>
      </c>
    </row>
    <row r="12964" spans="1:2" x14ac:dyDescent="0.3">
      <c r="A12964" s="9" t="str">
        <f>HYPERLINK("http://www.eatonpowersource.com/products/configure/pumps/details/72450-dca-02","72450-DCA-02")</f>
        <v>72450-DCA-02</v>
      </c>
      <c r="B12964" s="10" t="s">
        <v>12530</v>
      </c>
    </row>
    <row r="12965" spans="1:2" x14ac:dyDescent="0.3">
      <c r="A12965" s="7" t="str">
        <f>HYPERLINK("http://www.eatonpowersource.com/products/configure/pumps/details/72450-dcj-02","72450-DCJ-02")</f>
        <v>72450-DCJ-02</v>
      </c>
      <c r="B12965" s="8" t="s">
        <v>12531</v>
      </c>
    </row>
    <row r="12966" spans="1:2" x14ac:dyDescent="0.3">
      <c r="A12966" s="9" t="str">
        <f>HYPERLINK("http://www.eatonpowersource.com/products/configure/pumps/details/72450-dcl-02","72450-DCL-02")</f>
        <v>72450-DCL-02</v>
      </c>
      <c r="B12966" s="10" t="s">
        <v>12532</v>
      </c>
    </row>
    <row r="12967" spans="1:2" x14ac:dyDescent="0.3">
      <c r="A12967" s="7" t="str">
        <f>HYPERLINK("http://www.eatonpowersource.com/products/configure/pumps/details/72450-ddb-02","72450-DDB-02")</f>
        <v>72450-DDB-02</v>
      </c>
      <c r="B12967" s="8" t="s">
        <v>12533</v>
      </c>
    </row>
    <row r="12968" spans="1:2" x14ac:dyDescent="0.3">
      <c r="A12968" s="9" t="str">
        <f>HYPERLINK("http://www.eatonpowersource.com/products/configure/pumps/details/74111-dac-01","74111-DAC-01")</f>
        <v>74111-DAC-01</v>
      </c>
      <c r="B12968" s="10" t="s">
        <v>12534</v>
      </c>
    </row>
    <row r="12969" spans="1:2" x14ac:dyDescent="0.3">
      <c r="A12969" s="7" t="str">
        <f>HYPERLINK("http://www.eatonpowersource.com/products/configure/pumps/details/74111-daf-01","74111-DAF-01")</f>
        <v>74111-DAF-01</v>
      </c>
      <c r="B12969" s="8" t="s">
        <v>12535</v>
      </c>
    </row>
    <row r="12970" spans="1:2" x14ac:dyDescent="0.3">
      <c r="A12970" s="9" t="str">
        <f>HYPERLINK("http://www.eatonpowersource.com/products/configure/pumps/details/74111-dau-01","74111-DAU-01")</f>
        <v>74111-DAU-01</v>
      </c>
      <c r="B12970" s="10" t="s">
        <v>12536</v>
      </c>
    </row>
    <row r="12971" spans="1:2" x14ac:dyDescent="0.3">
      <c r="A12971" s="7" t="str">
        <f>HYPERLINK("http://www.eatonpowersource.com/products/configure/pumps/details/74115-dac-01","74115-DAC-01")</f>
        <v>74115-DAC-01</v>
      </c>
      <c r="B12971" s="8" t="s">
        <v>12537</v>
      </c>
    </row>
    <row r="12972" spans="1:2" x14ac:dyDescent="0.3">
      <c r="A12972" s="9" t="str">
        <f>HYPERLINK("http://www.eatonpowersource.com/products/configure/pumps/details/74115-daf-01","74115-DAF-01")</f>
        <v>74115-DAF-01</v>
      </c>
      <c r="B12972" s="10" t="s">
        <v>12538</v>
      </c>
    </row>
    <row r="12973" spans="1:2" x14ac:dyDescent="0.3">
      <c r="A12973" s="7" t="str">
        <f>HYPERLINK("http://www.eatonpowersource.com/products/configure/pumps/details/74118-daj-01","74118-DAJ-01")</f>
        <v>74118-DAJ-01</v>
      </c>
      <c r="B12973" s="8" t="s">
        <v>12539</v>
      </c>
    </row>
    <row r="12974" spans="1:2" x14ac:dyDescent="0.3">
      <c r="A12974" s="9" t="str">
        <f>HYPERLINK("http://www.eatonpowersource.com/products/configure/pumps/details/74118-dap-01","74118-DAP-01")</f>
        <v>74118-DAP-01</v>
      </c>
      <c r="B12974" s="10" t="s">
        <v>12540</v>
      </c>
    </row>
    <row r="12975" spans="1:2" x14ac:dyDescent="0.3">
      <c r="A12975" s="7" t="str">
        <f>HYPERLINK("http://www.eatonpowersource.com/products/configure/pumps/details/74118-dbh-01","74118-DBH-01")</f>
        <v>74118-DBH-01</v>
      </c>
      <c r="B12975" s="8" t="s">
        <v>12541</v>
      </c>
    </row>
    <row r="12976" spans="1:2" x14ac:dyDescent="0.3">
      <c r="A12976" s="9" t="str">
        <f>HYPERLINK("http://www.eatonpowersource.com/products/configure/pumps/details/74119-daf-01","74119-DAF-01")</f>
        <v>74119-DAF-01</v>
      </c>
      <c r="B12976" s="10" t="s">
        <v>12542</v>
      </c>
    </row>
    <row r="12977" spans="1:2" x14ac:dyDescent="0.3">
      <c r="A12977" s="7" t="str">
        <f>HYPERLINK("http://www.eatonpowersource.com/products/configure/pumps/details/74119-dam-01","74119-DAM-01")</f>
        <v>74119-DAM-01</v>
      </c>
      <c r="B12977" s="8" t="s">
        <v>12543</v>
      </c>
    </row>
    <row r="12978" spans="1:2" x14ac:dyDescent="0.3">
      <c r="A12978" s="9" t="str">
        <f>HYPERLINK("http://www.eatonpowersource.com/products/configure/pumps/details/74315-daa","74315-DAA")</f>
        <v>74315-DAA</v>
      </c>
      <c r="B12978" s="10" t="s">
        <v>12544</v>
      </c>
    </row>
    <row r="12979" spans="1:2" x14ac:dyDescent="0.3">
      <c r="A12979" s="7" t="str">
        <f>HYPERLINK("http://www.eatonpowersource.com/products/configure/pumps/details/74315-dae","74315-DAE")</f>
        <v>74315-DAE</v>
      </c>
      <c r="B12979" s="8" t="s">
        <v>12545</v>
      </c>
    </row>
    <row r="12980" spans="1:2" x14ac:dyDescent="0.3">
      <c r="A12980" s="9" t="str">
        <f>HYPERLINK("http://www.eatonpowersource.com/products/configure/pumps/details/74315-dah","74315-DAH")</f>
        <v>74315-DAH</v>
      </c>
      <c r="B12980" s="10" t="s">
        <v>12546</v>
      </c>
    </row>
    <row r="12981" spans="1:2" x14ac:dyDescent="0.3">
      <c r="A12981" s="7" t="str">
        <f>HYPERLINK("http://www.eatonpowersource.com/products/configure/pumps/details/74315-daj","74315-DAJ")</f>
        <v>74315-DAJ</v>
      </c>
      <c r="B12981" s="8" t="s">
        <v>12547</v>
      </c>
    </row>
    <row r="12982" spans="1:2" x14ac:dyDescent="0.3">
      <c r="A12982" s="9" t="str">
        <f>HYPERLINK("http://www.eatonpowersource.com/products/configure/pumps/details/74315-dap","74315-DAP")</f>
        <v>74315-DAP</v>
      </c>
      <c r="B12982" s="10" t="s">
        <v>12548</v>
      </c>
    </row>
    <row r="12983" spans="1:2" x14ac:dyDescent="0.3">
      <c r="A12983" s="7" t="str">
        <f>HYPERLINK("http://www.eatonpowersource.com/products/configure/pumps/details/74315-dar","74315-DAR")</f>
        <v>74315-DAR</v>
      </c>
      <c r="B12983" s="8" t="s">
        <v>12549</v>
      </c>
    </row>
    <row r="12984" spans="1:2" x14ac:dyDescent="0.3">
      <c r="A12984" s="9" t="str">
        <f>HYPERLINK("http://www.eatonpowersource.com/products/configure/pumps/details/74315-das","74315-DAS")</f>
        <v>74315-DAS</v>
      </c>
      <c r="B12984" s="10" t="s">
        <v>12550</v>
      </c>
    </row>
    <row r="12985" spans="1:2" x14ac:dyDescent="0.3">
      <c r="A12985" s="7" t="str">
        <f>HYPERLINK("http://www.eatonpowersource.com/products/configure/pumps/details/74315-dat","74315-DAT")</f>
        <v>74315-DAT</v>
      </c>
      <c r="B12985" s="8" t="s">
        <v>12551</v>
      </c>
    </row>
    <row r="12986" spans="1:2" x14ac:dyDescent="0.3">
      <c r="A12986" s="9" t="str">
        <f>HYPERLINK("http://www.eatonpowersource.com/products/configure/pumps/details/74315-day","74315-DAY")</f>
        <v>74315-DAY</v>
      </c>
      <c r="B12986" s="10" t="s">
        <v>12552</v>
      </c>
    </row>
    <row r="12987" spans="1:2" x14ac:dyDescent="0.3">
      <c r="A12987" s="7" t="str">
        <f>HYPERLINK("http://www.eatonpowersource.com/products/configure/pumps/details/74315-daz","74315-DAZ")</f>
        <v>74315-DAZ</v>
      </c>
      <c r="B12987" s="8" t="s">
        <v>12553</v>
      </c>
    </row>
    <row r="12988" spans="1:2" x14ac:dyDescent="0.3">
      <c r="A12988" s="9" t="str">
        <f>HYPERLINK("http://www.eatonpowersource.com/products/configure/pumps/details/74315-dbd","74315-DBD")</f>
        <v>74315-DBD</v>
      </c>
      <c r="B12988" s="10" t="s">
        <v>12554</v>
      </c>
    </row>
    <row r="12989" spans="1:2" x14ac:dyDescent="0.3">
      <c r="A12989" s="7" t="str">
        <f>HYPERLINK("http://www.eatonpowersource.com/products/configure/pumps/details/74315-dbw","74315-DBW")</f>
        <v>74315-DBW</v>
      </c>
      <c r="B12989" s="8" t="s">
        <v>12555</v>
      </c>
    </row>
    <row r="12990" spans="1:2" x14ac:dyDescent="0.3">
      <c r="A12990" s="9" t="str">
        <f>HYPERLINK("http://www.eatonpowersource.com/products/configure/pumps/details/74315-dce","74315-DCE")</f>
        <v>74315-DCE</v>
      </c>
      <c r="B12990" s="10" t="s">
        <v>12556</v>
      </c>
    </row>
    <row r="12991" spans="1:2" x14ac:dyDescent="0.3">
      <c r="A12991" s="7" t="str">
        <f>HYPERLINK("http://www.eatonpowersource.com/products/configure/pumps/details/74315-dcu","74315-DCU")</f>
        <v>74315-DCU</v>
      </c>
      <c r="B12991" s="8" t="s">
        <v>12557</v>
      </c>
    </row>
    <row r="12992" spans="1:2" x14ac:dyDescent="0.3">
      <c r="A12992" s="9" t="str">
        <f>HYPERLINK("http://www.eatonpowersource.com/products/configure/pumps/details/74315-dcw","74315-DCW")</f>
        <v>74315-DCW</v>
      </c>
      <c r="B12992" s="10" t="s">
        <v>12558</v>
      </c>
    </row>
    <row r="12993" spans="1:2" x14ac:dyDescent="0.3">
      <c r="A12993" s="7" t="str">
        <f>HYPERLINK("http://www.eatonpowersource.com/products/configure/pumps/details/74315-dda","74315-DDA")</f>
        <v>74315-DDA</v>
      </c>
      <c r="B12993" s="8" t="s">
        <v>12559</v>
      </c>
    </row>
    <row r="12994" spans="1:2" x14ac:dyDescent="0.3">
      <c r="A12994" s="9" t="str">
        <f>HYPERLINK("http://www.eatonpowersource.com/products/configure/pumps/details/74315-ddr","74315-DDR")</f>
        <v>74315-DDR</v>
      </c>
      <c r="B12994" s="10" t="s">
        <v>12560</v>
      </c>
    </row>
    <row r="12995" spans="1:2" x14ac:dyDescent="0.3">
      <c r="A12995" s="7" t="str">
        <f>HYPERLINK("http://www.eatonpowersource.com/products/configure/pumps/details/74315-dds","74315-DDS")</f>
        <v>74315-DDS</v>
      </c>
      <c r="B12995" s="8" t="s">
        <v>12561</v>
      </c>
    </row>
    <row r="12996" spans="1:2" x14ac:dyDescent="0.3">
      <c r="A12996" s="9" t="str">
        <f>HYPERLINK("http://www.eatonpowersource.com/products/configure/pumps/details/74315-deg","74315-DEG")</f>
        <v>74315-DEG</v>
      </c>
      <c r="B12996" s="10" t="s">
        <v>12562</v>
      </c>
    </row>
    <row r="12997" spans="1:2" x14ac:dyDescent="0.3">
      <c r="A12997" s="7" t="str">
        <f>HYPERLINK("http://www.eatonpowersource.com/products/configure/pumps/details/74315-dej","74315-DEJ")</f>
        <v>74315-DEJ</v>
      </c>
      <c r="B12997" s="8" t="s">
        <v>12563</v>
      </c>
    </row>
    <row r="12998" spans="1:2" x14ac:dyDescent="0.3">
      <c r="A12998" s="9" t="str">
        <f>HYPERLINK("http://www.eatonpowersource.com/products/configure/pumps/details/74315-dek","74315-DEK")</f>
        <v>74315-DEK</v>
      </c>
      <c r="B12998" s="10" t="s">
        <v>12564</v>
      </c>
    </row>
    <row r="12999" spans="1:2" x14ac:dyDescent="0.3">
      <c r="A12999" s="7" t="str">
        <f>HYPERLINK("http://www.eatonpowersource.com/products/configure/pumps/details/74315-dew","74315-DEW")</f>
        <v>74315-DEW</v>
      </c>
      <c r="B12999" s="8" t="s">
        <v>12565</v>
      </c>
    </row>
    <row r="13000" spans="1:2" x14ac:dyDescent="0.3">
      <c r="A13000" s="9" t="str">
        <f>HYPERLINK("http://www.eatonpowersource.com/products/configure/pumps/details/74315-lab","74315-LAB")</f>
        <v>74315-LAB</v>
      </c>
      <c r="B13000" s="10" t="s">
        <v>12566</v>
      </c>
    </row>
    <row r="13001" spans="1:2" x14ac:dyDescent="0.3">
      <c r="A13001" s="7" t="str">
        <f>HYPERLINK("http://www.eatonpowersource.com/products/configure/pumps/details/74318-daa","74318-DAA")</f>
        <v>74318-DAA</v>
      </c>
      <c r="B13001" s="8" t="s">
        <v>12567</v>
      </c>
    </row>
    <row r="13002" spans="1:2" x14ac:dyDescent="0.3">
      <c r="A13002" s="9" t="str">
        <f>HYPERLINK("http://www.eatonpowersource.com/products/configure/pumps/details/74318-dab","74318-DAB")</f>
        <v>74318-DAB</v>
      </c>
      <c r="B13002" s="10" t="s">
        <v>12568</v>
      </c>
    </row>
    <row r="13003" spans="1:2" x14ac:dyDescent="0.3">
      <c r="A13003" s="7" t="str">
        <f>HYPERLINK("http://www.eatonpowersource.com/products/configure/pumps/details/74318-daf","74318-DAF")</f>
        <v>74318-DAF</v>
      </c>
      <c r="B13003" s="8" t="s">
        <v>12569</v>
      </c>
    </row>
    <row r="13004" spans="1:2" x14ac:dyDescent="0.3">
      <c r="A13004" s="9" t="str">
        <f>HYPERLINK("http://www.eatonpowersource.com/products/configure/pumps/details/74318-dag","74318-DAG")</f>
        <v>74318-DAG</v>
      </c>
      <c r="B13004" s="10" t="s">
        <v>12570</v>
      </c>
    </row>
    <row r="13005" spans="1:2" x14ac:dyDescent="0.3">
      <c r="A13005" s="7" t="str">
        <f>HYPERLINK("http://www.eatonpowersource.com/products/configure/pumps/details/74318-dah","74318-DAH")</f>
        <v>74318-DAH</v>
      </c>
      <c r="B13005" s="8" t="s">
        <v>12571</v>
      </c>
    </row>
    <row r="13006" spans="1:2" x14ac:dyDescent="0.3">
      <c r="A13006" s="9" t="str">
        <f>HYPERLINK("http://www.eatonpowersource.com/products/configure/pumps/details/74318-dak","74318-DAK")</f>
        <v>74318-DAK</v>
      </c>
      <c r="B13006" s="10" t="s">
        <v>12572</v>
      </c>
    </row>
    <row r="13007" spans="1:2" x14ac:dyDescent="0.3">
      <c r="A13007" s="7" t="str">
        <f>HYPERLINK("http://www.eatonpowersource.com/products/configure/pumps/details/74318-dap","74318-DAP")</f>
        <v>74318-DAP</v>
      </c>
      <c r="B13007" s="8" t="s">
        <v>12573</v>
      </c>
    </row>
    <row r="13008" spans="1:2" x14ac:dyDescent="0.3">
      <c r="A13008" s="9" t="str">
        <f>HYPERLINK("http://www.eatonpowersource.com/products/configure/pumps/details/74318-dar","74318-DAR")</f>
        <v>74318-DAR</v>
      </c>
      <c r="B13008" s="10" t="s">
        <v>12574</v>
      </c>
    </row>
    <row r="13009" spans="1:2" x14ac:dyDescent="0.3">
      <c r="A13009" s="7" t="str">
        <f>HYPERLINK("http://www.eatonpowersource.com/products/configure/pumps/details/74318-das","74318-DAS")</f>
        <v>74318-DAS</v>
      </c>
      <c r="B13009" s="8" t="s">
        <v>12575</v>
      </c>
    </row>
    <row r="13010" spans="1:2" x14ac:dyDescent="0.3">
      <c r="A13010" s="9" t="str">
        <f>HYPERLINK("http://www.eatonpowersource.com/products/configure/pumps/details/74318-daw","74318-DAW")</f>
        <v>74318-DAW</v>
      </c>
      <c r="B13010" s="10" t="s">
        <v>12576</v>
      </c>
    </row>
    <row r="13011" spans="1:2" x14ac:dyDescent="0.3">
      <c r="A13011" s="7" t="str">
        <f>HYPERLINK("http://www.eatonpowersource.com/products/configure/pumps/details/74318-day","74318-DAY")</f>
        <v>74318-DAY</v>
      </c>
      <c r="B13011" s="8" t="s">
        <v>12577</v>
      </c>
    </row>
    <row r="13012" spans="1:2" x14ac:dyDescent="0.3">
      <c r="A13012" s="9" t="str">
        <f>HYPERLINK("http://www.eatonpowersource.com/products/configure/pumps/details/74318-daz","74318-DAZ")</f>
        <v>74318-DAZ</v>
      </c>
      <c r="B13012" s="10" t="s">
        <v>12578</v>
      </c>
    </row>
    <row r="13013" spans="1:2" x14ac:dyDescent="0.3">
      <c r="A13013" s="7" t="str">
        <f>HYPERLINK("http://www.eatonpowersource.com/products/configure/pumps/details/74318-dbh","74318-DBH")</f>
        <v>74318-DBH</v>
      </c>
      <c r="B13013" s="8" t="s">
        <v>12579</v>
      </c>
    </row>
    <row r="13014" spans="1:2" x14ac:dyDescent="0.3">
      <c r="A13014" s="9" t="str">
        <f>HYPERLINK("http://www.eatonpowersource.com/products/configure/pumps/details/74318-dbk","74318-DBK")</f>
        <v>74318-DBK</v>
      </c>
      <c r="B13014" s="10" t="s">
        <v>12580</v>
      </c>
    </row>
    <row r="13015" spans="1:2" x14ac:dyDescent="0.3">
      <c r="A13015" s="7" t="str">
        <f>HYPERLINK("http://www.eatonpowersource.com/products/configure/pumps/details/74318-dbm","74318-DBM")</f>
        <v>74318-DBM</v>
      </c>
      <c r="B13015" s="8" t="s">
        <v>12581</v>
      </c>
    </row>
    <row r="13016" spans="1:2" x14ac:dyDescent="0.3">
      <c r="A13016" s="9" t="str">
        <f>HYPERLINK("http://www.eatonpowersource.com/products/configure/pumps/details/74318-dbp","74318-DBP")</f>
        <v>74318-DBP</v>
      </c>
      <c r="B13016" s="10" t="s">
        <v>12582</v>
      </c>
    </row>
    <row r="13017" spans="1:2" x14ac:dyDescent="0.3">
      <c r="A13017" s="7" t="str">
        <f>HYPERLINK("http://www.eatonpowersource.com/products/configure/pumps/details/74318-dbs","74318-DBS")</f>
        <v>74318-DBS</v>
      </c>
      <c r="B13017" s="8" t="s">
        <v>12583</v>
      </c>
    </row>
    <row r="13018" spans="1:2" x14ac:dyDescent="0.3">
      <c r="A13018" s="9" t="str">
        <f>HYPERLINK("http://www.eatonpowersource.com/products/configure/pumps/details/74318-dby","74318-DBY")</f>
        <v>74318-DBY</v>
      </c>
      <c r="B13018" s="10" t="s">
        <v>12584</v>
      </c>
    </row>
    <row r="13019" spans="1:2" x14ac:dyDescent="0.3">
      <c r="A13019" s="7" t="str">
        <f>HYPERLINK("http://www.eatonpowersource.com/products/configure/pumps/details/74318-dcd","74318-DCD")</f>
        <v>74318-DCD</v>
      </c>
      <c r="B13019" s="8" t="s">
        <v>12585</v>
      </c>
    </row>
    <row r="13020" spans="1:2" x14ac:dyDescent="0.3">
      <c r="A13020" s="9" t="str">
        <f>HYPERLINK("http://www.eatonpowersource.com/products/configure/pumps/details/74318-dce","74318-DCE")</f>
        <v>74318-DCE</v>
      </c>
      <c r="B13020" s="10" t="s">
        <v>12586</v>
      </c>
    </row>
    <row r="13021" spans="1:2" x14ac:dyDescent="0.3">
      <c r="A13021" s="7" t="str">
        <f>HYPERLINK("http://www.eatonpowersource.com/products/configure/pumps/details/74318-dcl","74318-DCL")</f>
        <v>74318-DCL</v>
      </c>
      <c r="B13021" s="8" t="s">
        <v>12587</v>
      </c>
    </row>
    <row r="13022" spans="1:2" x14ac:dyDescent="0.3">
      <c r="A13022" s="9" t="str">
        <f>HYPERLINK("http://www.eatonpowersource.com/products/configure/pumps/details/74318-dct","74318-DCT")</f>
        <v>74318-DCT</v>
      </c>
      <c r="B13022" s="10" t="s">
        <v>12588</v>
      </c>
    </row>
    <row r="13023" spans="1:2" x14ac:dyDescent="0.3">
      <c r="A13023" s="7" t="str">
        <f>HYPERLINK("http://www.eatonpowersource.com/products/configure/pumps/details/74318-dcw","74318-DCW")</f>
        <v>74318-DCW</v>
      </c>
      <c r="B13023" s="8" t="s">
        <v>12589</v>
      </c>
    </row>
    <row r="13024" spans="1:2" x14ac:dyDescent="0.3">
      <c r="A13024" s="9" t="str">
        <f>HYPERLINK("http://www.eatonpowersource.com/products/configure/pumps/details/74318-dda","74318-DDA")</f>
        <v>74318-DDA</v>
      </c>
      <c r="B13024" s="10" t="s">
        <v>12590</v>
      </c>
    </row>
    <row r="13025" spans="1:2" x14ac:dyDescent="0.3">
      <c r="A13025" s="7" t="str">
        <f>HYPERLINK("http://www.eatonpowersource.com/products/configure/pumps/details/74318-ddc","74318-DDC")</f>
        <v>74318-DDC</v>
      </c>
      <c r="B13025" s="8" t="s">
        <v>12591</v>
      </c>
    </row>
    <row r="13026" spans="1:2" x14ac:dyDescent="0.3">
      <c r="A13026" s="9" t="str">
        <f>HYPERLINK("http://www.eatonpowersource.com/products/configure/pumps/details/74318-ddm","74318-DDM")</f>
        <v>74318-DDM</v>
      </c>
      <c r="B13026" s="10" t="s">
        <v>12592</v>
      </c>
    </row>
    <row r="13027" spans="1:2" x14ac:dyDescent="0.3">
      <c r="A13027" s="7" t="str">
        <f>HYPERLINK("http://www.eatonpowersource.com/products/configure/pumps/details/74318-dec","74318-DEC")</f>
        <v>74318-DEC</v>
      </c>
      <c r="B13027" s="8" t="s">
        <v>12593</v>
      </c>
    </row>
    <row r="13028" spans="1:2" x14ac:dyDescent="0.3">
      <c r="A13028" s="9" t="str">
        <f>HYPERLINK("http://www.eatonpowersource.com/products/configure/pumps/details/74318-dee","74318-DEE")</f>
        <v>74318-DEE</v>
      </c>
      <c r="B13028" s="10" t="s">
        <v>12594</v>
      </c>
    </row>
    <row r="13029" spans="1:2" x14ac:dyDescent="0.3">
      <c r="A13029" s="7" t="str">
        <f>HYPERLINK("http://www.eatonpowersource.com/products/configure/pumps/details/74318-den","74318-DEN")</f>
        <v>74318-DEN</v>
      </c>
      <c r="B13029" s="8" t="s">
        <v>12595</v>
      </c>
    </row>
    <row r="13030" spans="1:2" x14ac:dyDescent="0.3">
      <c r="A13030" s="9" t="str">
        <f>HYPERLINK("http://www.eatonpowersource.com/products/configure/pumps/details/74318-des","74318-DES")</f>
        <v>74318-DES</v>
      </c>
      <c r="B13030" s="10" t="s">
        <v>12596</v>
      </c>
    </row>
    <row r="13031" spans="1:2" x14ac:dyDescent="0.3">
      <c r="A13031" s="7" t="str">
        <f>HYPERLINK("http://www.eatonpowersource.com/products/configure/pumps/details/74318-dff","74318-DFF")</f>
        <v>74318-DFF</v>
      </c>
      <c r="B13031" s="8" t="s">
        <v>12597</v>
      </c>
    </row>
    <row r="13032" spans="1:2" x14ac:dyDescent="0.3">
      <c r="A13032" s="9" t="str">
        <f>HYPERLINK("http://www.eatonpowersource.com/products/configure/pumps/details/74318-dgb","74318-DGB")</f>
        <v>74318-DGB</v>
      </c>
      <c r="B13032" s="10" t="s">
        <v>12598</v>
      </c>
    </row>
    <row r="13033" spans="1:2" x14ac:dyDescent="0.3">
      <c r="A13033" s="7" t="str">
        <f>HYPERLINK("http://www.eatonpowersource.com/products/configure/pumps/details/74318-dgd","74318-DGD")</f>
        <v>74318-DGD</v>
      </c>
      <c r="B13033" s="8" t="s">
        <v>12599</v>
      </c>
    </row>
    <row r="13034" spans="1:2" x14ac:dyDescent="0.3">
      <c r="A13034" s="9" t="str">
        <f>HYPERLINK("http://www.eatonpowersource.com/products/configure/pumps/details/74318-dge","74318-DGE")</f>
        <v>74318-DGE</v>
      </c>
      <c r="B13034" s="10" t="s">
        <v>12600</v>
      </c>
    </row>
    <row r="13035" spans="1:2" x14ac:dyDescent="0.3">
      <c r="A13035" s="7" t="str">
        <f>HYPERLINK("http://www.eatonpowersource.com/products/configure/pumps/details/74318-dgf","74318-DGF")</f>
        <v>74318-DGF</v>
      </c>
      <c r="B13035" s="8" t="s">
        <v>12601</v>
      </c>
    </row>
    <row r="13036" spans="1:2" x14ac:dyDescent="0.3">
      <c r="A13036" s="9" t="str">
        <f>HYPERLINK("http://www.eatonpowersource.com/products/configure/pumps/details/74318-dgr","74318-DGR")</f>
        <v>74318-DGR</v>
      </c>
      <c r="B13036" s="10" t="s">
        <v>12602</v>
      </c>
    </row>
    <row r="13037" spans="1:2" x14ac:dyDescent="0.3">
      <c r="A13037" s="7" t="str">
        <f>HYPERLINK("http://www.eatonpowersource.com/products/configure/pumps/details/74318-dgs","74318-DGS")</f>
        <v>74318-DGS</v>
      </c>
      <c r="B13037" s="8" t="s">
        <v>12603</v>
      </c>
    </row>
    <row r="13038" spans="1:2" x14ac:dyDescent="0.3">
      <c r="A13038" s="9" t="str">
        <f>HYPERLINK("http://www.eatonpowersource.com/products/configure/pumps/details/74318-dgw","74318-DGW")</f>
        <v>74318-DGW</v>
      </c>
      <c r="B13038" s="10" t="s">
        <v>12604</v>
      </c>
    </row>
    <row r="13039" spans="1:2" x14ac:dyDescent="0.3">
      <c r="A13039" s="7" t="str">
        <f>HYPERLINK("http://www.eatonpowersource.com/products/configure/pumps/details/74318-dhb","74318-DHB")</f>
        <v>74318-DHB</v>
      </c>
      <c r="B13039" s="8" t="s">
        <v>12605</v>
      </c>
    </row>
    <row r="13040" spans="1:2" x14ac:dyDescent="0.3">
      <c r="A13040" s="9" t="str">
        <f>HYPERLINK("http://www.eatonpowersource.com/products/configure/pumps/details/74318-dhc","74318-DHC")</f>
        <v>74318-DHC</v>
      </c>
      <c r="B13040" s="10" t="s">
        <v>12606</v>
      </c>
    </row>
    <row r="13041" spans="1:2" x14ac:dyDescent="0.3">
      <c r="A13041" s="7" t="str">
        <f>HYPERLINK("http://www.eatonpowersource.com/products/configure/pumps/details/74318-dhf","74318-DHF")</f>
        <v>74318-DHF</v>
      </c>
      <c r="B13041" s="8" t="s">
        <v>12607</v>
      </c>
    </row>
    <row r="13042" spans="1:2" x14ac:dyDescent="0.3">
      <c r="A13042" s="9" t="str">
        <f>HYPERLINK("http://www.eatonpowersource.com/products/configure/pumps/details/74318-dhr","74318-DHR")</f>
        <v>74318-DHR</v>
      </c>
      <c r="B13042" s="10" t="s">
        <v>12608</v>
      </c>
    </row>
    <row r="13043" spans="1:2" x14ac:dyDescent="0.3">
      <c r="A13043" s="7" t="str">
        <f>HYPERLINK("http://www.eatonpowersource.com/products/configure/pumps/details/74318-djt","74318-DJT")</f>
        <v>74318-DJT</v>
      </c>
      <c r="B13043" s="8" t="s">
        <v>12609</v>
      </c>
    </row>
    <row r="13044" spans="1:2" x14ac:dyDescent="0.3">
      <c r="A13044" s="9" t="str">
        <f>HYPERLINK("http://www.eatonpowersource.com/products/configure/pumps/details/74318-dkj","74318-DKJ")</f>
        <v>74318-DKJ</v>
      </c>
      <c r="B13044" s="10" t="s">
        <v>12610</v>
      </c>
    </row>
    <row r="13045" spans="1:2" x14ac:dyDescent="0.3">
      <c r="A13045" s="7" t="str">
        <f>HYPERLINK("http://www.eatonpowersource.com/products/configure/pumps/details/74318-dma","74318-DMA")</f>
        <v>74318-DMA</v>
      </c>
      <c r="B13045" s="8" t="s">
        <v>12611</v>
      </c>
    </row>
    <row r="13046" spans="1:2" x14ac:dyDescent="0.3">
      <c r="A13046" s="9" t="str">
        <f>HYPERLINK("http://www.eatonpowersource.com/products/configure/pumps/details/74318-lad","74318-LAD")</f>
        <v>74318-LAD</v>
      </c>
      <c r="B13046" s="10" t="s">
        <v>12612</v>
      </c>
    </row>
    <row r="13047" spans="1:2" x14ac:dyDescent="0.3">
      <c r="A13047" s="7" t="str">
        <f>HYPERLINK("http://www.eatonpowersource.com/products/configure/pumps/details/74328-daa","74328-DAA")</f>
        <v>74328-DAA</v>
      </c>
      <c r="B13047" s="8" t="s">
        <v>12613</v>
      </c>
    </row>
    <row r="13048" spans="1:2" x14ac:dyDescent="0.3">
      <c r="A13048" s="9" t="str">
        <f>HYPERLINK("http://www.eatonpowersource.com/products/configure/pumps/details/74328-dab","74328-DAB")</f>
        <v>74328-DAB</v>
      </c>
      <c r="B13048" s="10" t="s">
        <v>12614</v>
      </c>
    </row>
    <row r="13049" spans="1:2" x14ac:dyDescent="0.3">
      <c r="A13049" s="7" t="str">
        <f>HYPERLINK("http://www.eatonpowersource.com/products/configure/pumps/details/74328-daf","74328-DAF")</f>
        <v>74328-DAF</v>
      </c>
      <c r="B13049" s="8" t="s">
        <v>12615</v>
      </c>
    </row>
    <row r="13050" spans="1:2" x14ac:dyDescent="0.3">
      <c r="A13050" s="9" t="str">
        <f>HYPERLINK("http://www.eatonpowersource.com/products/configure/pumps/details/74328-dag","74328-DAG")</f>
        <v>74328-DAG</v>
      </c>
      <c r="B13050" s="10" t="s">
        <v>12616</v>
      </c>
    </row>
    <row r="13051" spans="1:2" x14ac:dyDescent="0.3">
      <c r="A13051" s="7" t="str">
        <f>HYPERLINK("http://www.eatonpowersource.com/products/configure/pumps/details/74328-dam","74328-DAM")</f>
        <v>74328-DAM</v>
      </c>
      <c r="B13051" s="8" t="s">
        <v>12617</v>
      </c>
    </row>
    <row r="13052" spans="1:2" x14ac:dyDescent="0.3">
      <c r="A13052" s="9" t="str">
        <f>HYPERLINK("http://www.eatonpowersource.com/products/configure/pumps/details/74328-dan","74328-DAN")</f>
        <v>74328-DAN</v>
      </c>
      <c r="B13052" s="10" t="s">
        <v>12618</v>
      </c>
    </row>
    <row r="13053" spans="1:2" x14ac:dyDescent="0.3">
      <c r="A13053" s="7" t="str">
        <f>HYPERLINK("http://www.eatonpowersource.com/products/configure/pumps/details/74328-dbs","74328-DBS")</f>
        <v>74328-DBS</v>
      </c>
      <c r="B13053" s="8" t="s">
        <v>12619</v>
      </c>
    </row>
    <row r="13054" spans="1:2" x14ac:dyDescent="0.3">
      <c r="A13054" s="9" t="str">
        <f>HYPERLINK("http://www.eatonpowersource.com/products/configure/pumps/details/74328-dby","74328-DBY")</f>
        <v>74328-DBY</v>
      </c>
      <c r="B13054" s="10" t="s">
        <v>12620</v>
      </c>
    </row>
    <row r="13055" spans="1:2" x14ac:dyDescent="0.3">
      <c r="A13055" s="7" t="str">
        <f>HYPERLINK("http://www.eatonpowersource.com/products/configure/pumps/details/74418-dax","74418-DAX")</f>
        <v>74418-DAX</v>
      </c>
      <c r="B13055" s="8" t="s">
        <v>12621</v>
      </c>
    </row>
    <row r="13056" spans="1:2" x14ac:dyDescent="0.3">
      <c r="A13056" s="9" t="str">
        <f>HYPERLINK("http://www.eatonpowersource.com/products/configure/pumps/details/74624-dab","74624-DAB")</f>
        <v>74624-DAB</v>
      </c>
      <c r="B13056" s="10" t="s">
        <v>12622</v>
      </c>
    </row>
    <row r="13057" spans="1:2" x14ac:dyDescent="0.3">
      <c r="A13057" s="7" t="str">
        <f>HYPERLINK("http://www.eatonpowersource.com/products/configure/pumps/details/74624-dag","74624-DAG")</f>
        <v>74624-DAG</v>
      </c>
      <c r="B13057" s="8" t="s">
        <v>12623</v>
      </c>
    </row>
    <row r="13058" spans="1:2" x14ac:dyDescent="0.3">
      <c r="A13058" s="9" t="str">
        <f>HYPERLINK("http://www.eatonpowersource.com/products/configure/pumps/details/74624-dah","74624-DAH")</f>
        <v>74624-DAH</v>
      </c>
      <c r="B13058" s="10" t="s">
        <v>12624</v>
      </c>
    </row>
    <row r="13059" spans="1:2" x14ac:dyDescent="0.3">
      <c r="A13059" s="7" t="str">
        <f>HYPERLINK("http://www.eatonpowersource.com/products/configure/pumps/details/74624-dal","74624-DAL")</f>
        <v>74624-DAL</v>
      </c>
      <c r="B13059" s="8" t="s">
        <v>12625</v>
      </c>
    </row>
    <row r="13060" spans="1:2" x14ac:dyDescent="0.3">
      <c r="A13060" s="9" t="str">
        <f>HYPERLINK("http://www.eatonpowersource.com/products/configure/pumps/details/74624-dam","74624-DAM")</f>
        <v>74624-DAM</v>
      </c>
      <c r="B13060" s="10" t="s">
        <v>12626</v>
      </c>
    </row>
    <row r="13061" spans="1:2" x14ac:dyDescent="0.3">
      <c r="A13061" s="7" t="str">
        <f>HYPERLINK("http://www.eatonpowersource.com/products/configure/pumps/details/74624-dar","74624-DAR")</f>
        <v>74624-DAR</v>
      </c>
      <c r="B13061" s="8" t="s">
        <v>12627</v>
      </c>
    </row>
    <row r="13062" spans="1:2" x14ac:dyDescent="0.3">
      <c r="A13062" s="9" t="str">
        <f>HYPERLINK("http://www.eatonpowersource.com/products/configure/pumps/details/74624-dat","74624-DAT")</f>
        <v>74624-DAT</v>
      </c>
      <c r="B13062" s="10" t="s">
        <v>12628</v>
      </c>
    </row>
    <row r="13063" spans="1:2" x14ac:dyDescent="0.3">
      <c r="A13063" s="7" t="str">
        <f>HYPERLINK("http://www.eatonpowersource.com/products/configure/pumps/details/74624-dau","74624-DAU")</f>
        <v>74624-DAU</v>
      </c>
      <c r="B13063" s="8" t="s">
        <v>12629</v>
      </c>
    </row>
    <row r="13064" spans="1:2" x14ac:dyDescent="0.3">
      <c r="A13064" s="9" t="str">
        <f>HYPERLINK("http://www.eatonpowersource.com/products/configure/pumps/details/74624-dav","74624-DAV")</f>
        <v>74624-DAV</v>
      </c>
      <c r="B13064" s="10" t="s">
        <v>12630</v>
      </c>
    </row>
    <row r="13065" spans="1:2" x14ac:dyDescent="0.3">
      <c r="A13065" s="7" t="str">
        <f>HYPERLINK("http://www.eatonpowersource.com/products/configure/pumps/details/74624-dbd","74624-DBD")</f>
        <v>74624-DBD</v>
      </c>
      <c r="B13065" s="8" t="s">
        <v>12631</v>
      </c>
    </row>
    <row r="13066" spans="1:2" x14ac:dyDescent="0.3">
      <c r="A13066" s="9" t="str">
        <f>HYPERLINK("http://www.eatonpowersource.com/products/configure/pumps/details/74624-dbe","74624-DBE")</f>
        <v>74624-DBE</v>
      </c>
      <c r="B13066" s="10" t="s">
        <v>12632</v>
      </c>
    </row>
    <row r="13067" spans="1:2" x14ac:dyDescent="0.3">
      <c r="A13067" s="7" t="str">
        <f>HYPERLINK("http://www.eatonpowersource.com/products/configure/pumps/details/74624-dbj","74624-DBJ")</f>
        <v>74624-DBJ</v>
      </c>
      <c r="B13067" s="8" t="s">
        <v>12633</v>
      </c>
    </row>
    <row r="13068" spans="1:2" x14ac:dyDescent="0.3">
      <c r="A13068" s="9" t="str">
        <f>HYPERLINK("http://www.eatonpowersource.com/products/configure/pumps/details/74644-daj","74644-DAJ")</f>
        <v>74644-DAJ</v>
      </c>
      <c r="B13068" s="10" t="s">
        <v>12634</v>
      </c>
    </row>
    <row r="13069" spans="1:2" x14ac:dyDescent="0.3">
      <c r="A13069" s="7" t="str">
        <f>HYPERLINK("http://www.eatonpowersource.com/products/configure/pumps/details/74644-dar","74644-DAR")</f>
        <v>74644-DAR</v>
      </c>
      <c r="B13069" s="8" t="s">
        <v>12635</v>
      </c>
    </row>
    <row r="13070" spans="1:2" x14ac:dyDescent="0.3">
      <c r="A13070" s="9" t="str">
        <f>HYPERLINK("http://www.eatonpowersource.com/products/configure/pumps/details/74644-das","74644-DAS")</f>
        <v>74644-DAS</v>
      </c>
      <c r="B13070" s="10" t="s">
        <v>12636</v>
      </c>
    </row>
    <row r="13071" spans="1:2" x14ac:dyDescent="0.3">
      <c r="A13071" s="7" t="str">
        <f>HYPERLINK("http://www.eatonpowersource.com/products/configure/pumps/details/78361-lak-02","78361-LAK-02")</f>
        <v>78361-LAK-02</v>
      </c>
      <c r="B13071" s="8" t="s">
        <v>12637</v>
      </c>
    </row>
    <row r="13072" spans="1:2" x14ac:dyDescent="0.3">
      <c r="A13072" s="9" t="str">
        <f>HYPERLINK("http://www.eatonpowersource.com/products/configure/pumps/details/78453-lav","78453-LAV")</f>
        <v>78453-LAV</v>
      </c>
      <c r="B13072" s="10" t="s">
        <v>12638</v>
      </c>
    </row>
    <row r="13073" spans="1:2" x14ac:dyDescent="0.3">
      <c r="A13073" s="7" t="str">
        <f>HYPERLINK("http://www.eatonpowersource.com/products/configure/pumps/details/78453-lbg","78453-LBG")</f>
        <v>78453-LBG</v>
      </c>
      <c r="B13073" s="8" t="s">
        <v>12639</v>
      </c>
    </row>
    <row r="13074" spans="1:2" x14ac:dyDescent="0.3">
      <c r="A13074" s="9" t="str">
        <f>HYPERLINK("http://www.eatonpowersource.com/products/configure/pumps/details/78453-raz","78453-RAZ")</f>
        <v>78453-RAZ</v>
      </c>
      <c r="B13074" s="10" t="s">
        <v>12640</v>
      </c>
    </row>
    <row r="13075" spans="1:2" x14ac:dyDescent="0.3">
      <c r="A13075" s="7" t="str">
        <f>HYPERLINK("http://www.eatonpowersource.com/products/configure/pumps/details/78461-ram-04","78461-RAM-04")</f>
        <v>78461-RAM-04</v>
      </c>
      <c r="B13075" s="8" t="s">
        <v>12641</v>
      </c>
    </row>
    <row r="13076" spans="1:2" x14ac:dyDescent="0.3">
      <c r="A13076" s="9" t="str">
        <f>HYPERLINK("http://www.eatonpowersource.com/products/configure/pumps/details/78461-reh-04","78461-REH-04")</f>
        <v>78461-REH-04</v>
      </c>
      <c r="B13076" s="10" t="s">
        <v>12642</v>
      </c>
    </row>
    <row r="13077" spans="1:2" x14ac:dyDescent="0.3">
      <c r="A13077" s="7" t="str">
        <f>HYPERLINK("http://www.eatonpowersource.com/products/configure/pumps/details/78464-rag-04","78464-RAG-04")</f>
        <v>78464-RAG-04</v>
      </c>
      <c r="B13077" s="8" t="s">
        <v>12643</v>
      </c>
    </row>
    <row r="13078" spans="1:2" x14ac:dyDescent="0.3">
      <c r="A13078" s="9" t="str">
        <f>HYPERLINK("http://www.eatonpowersource.com/products/configure/motors/details/104-1001-006","104-1001-006")</f>
        <v>104-1001-006</v>
      </c>
      <c r="B13078" s="10" t="s">
        <v>12644</v>
      </c>
    </row>
    <row r="13079" spans="1:2" x14ac:dyDescent="0.3">
      <c r="A13079" s="7" t="str">
        <f>HYPERLINK("http://www.eatonpowersource.com/products/configure/motors/details/104-1002-006","104-1002-006")</f>
        <v>104-1002-006</v>
      </c>
      <c r="B13079" s="8" t="s">
        <v>12645</v>
      </c>
    </row>
    <row r="13080" spans="1:2" x14ac:dyDescent="0.3">
      <c r="A13080" s="9" t="str">
        <f>HYPERLINK("http://www.eatonpowersource.com/products/configure/motors/details/104-1003-006","104-1003-006")</f>
        <v>104-1003-006</v>
      </c>
      <c r="B13080" s="10" t="s">
        <v>12646</v>
      </c>
    </row>
    <row r="13081" spans="1:2" x14ac:dyDescent="0.3">
      <c r="A13081" s="7" t="str">
        <f>HYPERLINK("http://www.eatonpowersource.com/products/configure/motors/details/104-1004-006","104-1004-006")</f>
        <v>104-1004-006</v>
      </c>
      <c r="B13081" s="8" t="s">
        <v>12647</v>
      </c>
    </row>
    <row r="13082" spans="1:2" x14ac:dyDescent="0.3">
      <c r="A13082" s="9" t="str">
        <f>HYPERLINK("http://www.eatonpowersource.com/products/configure/motors/details/104-1005-006","104-1005-006")</f>
        <v>104-1005-006</v>
      </c>
      <c r="B13082" s="10" t="s">
        <v>12648</v>
      </c>
    </row>
    <row r="13083" spans="1:2" x14ac:dyDescent="0.3">
      <c r="A13083" s="7" t="str">
        <f>HYPERLINK("http://www.eatonpowersource.com/products/configure/motors/details/104-1006-006","104-1006-006")</f>
        <v>104-1006-006</v>
      </c>
      <c r="B13083" s="8" t="s">
        <v>12649</v>
      </c>
    </row>
    <row r="13084" spans="1:2" x14ac:dyDescent="0.3">
      <c r="A13084" s="9" t="str">
        <f>HYPERLINK("http://www.eatonpowersource.com/products/configure/motors/details/104-1007-006","104-1007-006")</f>
        <v>104-1007-006</v>
      </c>
      <c r="B13084" s="10" t="s">
        <v>12650</v>
      </c>
    </row>
    <row r="13085" spans="1:2" x14ac:dyDescent="0.3">
      <c r="A13085" s="7" t="str">
        <f>HYPERLINK("http://www.eatonpowersource.com/products/configure/motors/details/104-1011-006","104-1011-006")</f>
        <v>104-1011-006</v>
      </c>
      <c r="B13085" s="8" t="s">
        <v>12651</v>
      </c>
    </row>
    <row r="13086" spans="1:2" x14ac:dyDescent="0.3">
      <c r="A13086" s="9" t="str">
        <f>HYPERLINK("http://www.eatonpowersource.com/products/configure/motors/details/104-1012-006","104-1012-006")</f>
        <v>104-1012-006</v>
      </c>
      <c r="B13086" s="10" t="s">
        <v>12652</v>
      </c>
    </row>
    <row r="13087" spans="1:2" x14ac:dyDescent="0.3">
      <c r="A13087" s="7" t="str">
        <f>HYPERLINK("http://www.eatonpowersource.com/products/configure/motors/details/104-1014-006","104-1014-006")</f>
        <v>104-1014-006</v>
      </c>
      <c r="B13087" s="8" t="s">
        <v>12653</v>
      </c>
    </row>
    <row r="13088" spans="1:2" x14ac:dyDescent="0.3">
      <c r="A13088" s="9" t="str">
        <f>HYPERLINK("http://www.eatonpowersource.com/products/configure/motors/details/104-1015-006","104-1015-006")</f>
        <v>104-1015-006</v>
      </c>
      <c r="B13088" s="10" t="s">
        <v>12654</v>
      </c>
    </row>
    <row r="13089" spans="1:2" x14ac:dyDescent="0.3">
      <c r="A13089" s="7" t="str">
        <f>HYPERLINK("http://www.eatonpowersource.com/products/configure/motors/details/104-1016-006","104-1016-006")</f>
        <v>104-1016-006</v>
      </c>
      <c r="B13089" s="8" t="s">
        <v>12655</v>
      </c>
    </row>
    <row r="13090" spans="1:2" x14ac:dyDescent="0.3">
      <c r="A13090" s="9" t="str">
        <f>HYPERLINK("http://www.eatonpowersource.com/products/configure/motors/details/104-1017-006","104-1017-006")</f>
        <v>104-1017-006</v>
      </c>
      <c r="B13090" s="10" t="s">
        <v>12656</v>
      </c>
    </row>
    <row r="13091" spans="1:2" x14ac:dyDescent="0.3">
      <c r="A13091" s="7" t="str">
        <f>HYPERLINK("http://www.eatonpowersource.com/products/configure/motors/details/104-1018-006","104-1018-006")</f>
        <v>104-1018-006</v>
      </c>
      <c r="B13091" s="8" t="s">
        <v>12657</v>
      </c>
    </row>
    <row r="13092" spans="1:2" x14ac:dyDescent="0.3">
      <c r="A13092" s="9" t="str">
        <f>HYPERLINK("http://www.eatonpowersource.com/products/configure/motors/details/104-1019-006","104-1019-006")</f>
        <v>104-1019-006</v>
      </c>
      <c r="B13092" s="10" t="s">
        <v>12658</v>
      </c>
    </row>
    <row r="13093" spans="1:2" x14ac:dyDescent="0.3">
      <c r="A13093" s="7" t="str">
        <f>HYPERLINK("http://www.eatonpowersource.com/products/configure/motors/details/104-1020-006","104-1020-006")</f>
        <v>104-1020-006</v>
      </c>
      <c r="B13093" s="8" t="s">
        <v>12659</v>
      </c>
    </row>
    <row r="13094" spans="1:2" x14ac:dyDescent="0.3">
      <c r="A13094" s="9" t="str">
        <f>HYPERLINK("http://www.eatonpowersource.com/products/configure/motors/details/104-1021-006","104-1021-006")</f>
        <v>104-1021-006</v>
      </c>
      <c r="B13094" s="10" t="s">
        <v>12660</v>
      </c>
    </row>
    <row r="13095" spans="1:2" x14ac:dyDescent="0.3">
      <c r="A13095" s="7" t="str">
        <f>HYPERLINK("http://www.eatonpowersource.com/products/configure/motors/details/104-1022-006","104-1022-006")</f>
        <v>104-1022-006</v>
      </c>
      <c r="B13095" s="8" t="s">
        <v>12661</v>
      </c>
    </row>
    <row r="13096" spans="1:2" x14ac:dyDescent="0.3">
      <c r="A13096" s="9" t="str">
        <f>HYPERLINK("http://www.eatonpowersource.com/products/configure/motors/details/104-1023-006","104-1023-006")</f>
        <v>104-1023-006</v>
      </c>
      <c r="B13096" s="10" t="s">
        <v>12662</v>
      </c>
    </row>
    <row r="13097" spans="1:2" x14ac:dyDescent="0.3">
      <c r="A13097" s="7" t="str">
        <f>HYPERLINK("http://www.eatonpowersource.com/products/configure/motors/details/104-1024-006","104-1024-006")</f>
        <v>104-1024-006</v>
      </c>
      <c r="B13097" s="8" t="s">
        <v>12663</v>
      </c>
    </row>
    <row r="13098" spans="1:2" x14ac:dyDescent="0.3">
      <c r="A13098" s="9" t="str">
        <f>HYPERLINK("http://www.eatonpowersource.com/products/configure/motors/details/104-1025-006","104-1025-006")</f>
        <v>104-1025-006</v>
      </c>
      <c r="B13098" s="10" t="s">
        <v>12664</v>
      </c>
    </row>
    <row r="13099" spans="1:2" x14ac:dyDescent="0.3">
      <c r="A13099" s="7" t="str">
        <f>HYPERLINK("http://www.eatonpowersource.com/products/configure/motors/details/104-1026-006","104-1026-006")</f>
        <v>104-1026-006</v>
      </c>
      <c r="B13099" s="8" t="s">
        <v>12665</v>
      </c>
    </row>
    <row r="13100" spans="1:2" x14ac:dyDescent="0.3">
      <c r="A13100" s="9" t="str">
        <f>HYPERLINK("http://www.eatonpowersource.com/products/configure/motors/details/104-1027-006","104-1027-006")</f>
        <v>104-1027-006</v>
      </c>
      <c r="B13100" s="10" t="s">
        <v>12666</v>
      </c>
    </row>
    <row r="13101" spans="1:2" x14ac:dyDescent="0.3">
      <c r="A13101" s="7" t="str">
        <f>HYPERLINK("http://www.eatonpowersource.com/products/configure/motors/details/104-1028-006","104-1028-006")</f>
        <v>104-1028-006</v>
      </c>
      <c r="B13101" s="8" t="s">
        <v>12667</v>
      </c>
    </row>
    <row r="13102" spans="1:2" x14ac:dyDescent="0.3">
      <c r="A13102" s="9" t="str">
        <f>HYPERLINK("http://www.eatonpowersource.com/products/configure/motors/details/104-1029-006","104-1029-006")</f>
        <v>104-1029-006</v>
      </c>
      <c r="B13102" s="10" t="s">
        <v>12668</v>
      </c>
    </row>
    <row r="13103" spans="1:2" x14ac:dyDescent="0.3">
      <c r="A13103" s="7" t="str">
        <f>HYPERLINK("http://www.eatonpowersource.com/products/configure/motors/details/104-1030-006","104-1030-006")</f>
        <v>104-1030-006</v>
      </c>
      <c r="B13103" s="8" t="s">
        <v>12669</v>
      </c>
    </row>
    <row r="13104" spans="1:2" x14ac:dyDescent="0.3">
      <c r="A13104" s="9" t="str">
        <f>HYPERLINK("http://www.eatonpowersource.com/products/configure/motors/details/104-1031-006","104-1031-006")</f>
        <v>104-1031-006</v>
      </c>
      <c r="B13104" s="10" t="s">
        <v>12670</v>
      </c>
    </row>
    <row r="13105" spans="1:2" x14ac:dyDescent="0.3">
      <c r="A13105" s="7" t="str">
        <f>HYPERLINK("http://www.eatonpowersource.com/products/configure/motors/details/104-1032-006","104-1032-006")</f>
        <v>104-1032-006</v>
      </c>
      <c r="B13105" s="8" t="s">
        <v>12671</v>
      </c>
    </row>
    <row r="13106" spans="1:2" x14ac:dyDescent="0.3">
      <c r="A13106" s="9" t="str">
        <f>HYPERLINK("http://www.eatonpowersource.com/products/configure/motors/details/104-1033-006","104-1033-006")</f>
        <v>104-1033-006</v>
      </c>
      <c r="B13106" s="10" t="s">
        <v>12672</v>
      </c>
    </row>
    <row r="13107" spans="1:2" x14ac:dyDescent="0.3">
      <c r="A13107" s="7" t="str">
        <f>HYPERLINK("http://www.eatonpowersource.com/products/configure/motors/details/104-1034-006","104-1034-006")</f>
        <v>104-1034-006</v>
      </c>
      <c r="B13107" s="8" t="s">
        <v>12673</v>
      </c>
    </row>
    <row r="13108" spans="1:2" x14ac:dyDescent="0.3">
      <c r="A13108" s="9" t="str">
        <f>HYPERLINK("http://www.eatonpowersource.com/products/configure/motors/details/104-1035-006","104-1035-006")</f>
        <v>104-1035-006</v>
      </c>
      <c r="B13108" s="10" t="s">
        <v>12674</v>
      </c>
    </row>
    <row r="13109" spans="1:2" x14ac:dyDescent="0.3">
      <c r="A13109" s="7" t="str">
        <f>HYPERLINK("http://www.eatonpowersource.com/products/configure/motors/details/104-1036-006","104-1036-006")</f>
        <v>104-1036-006</v>
      </c>
      <c r="B13109" s="8" t="s">
        <v>12675</v>
      </c>
    </row>
    <row r="13110" spans="1:2" x14ac:dyDescent="0.3">
      <c r="A13110" s="9" t="str">
        <f>HYPERLINK("http://www.eatonpowersource.com/products/configure/motors/details/104-1037-006","104-1037-006")</f>
        <v>104-1037-006</v>
      </c>
      <c r="B13110" s="10" t="s">
        <v>12676</v>
      </c>
    </row>
    <row r="13111" spans="1:2" x14ac:dyDescent="0.3">
      <c r="A13111" s="7" t="str">
        <f>HYPERLINK("http://www.eatonpowersource.com/products/configure/motors/details/104-1038-006","104-1038-006")</f>
        <v>104-1038-006</v>
      </c>
      <c r="B13111" s="8" t="s">
        <v>12677</v>
      </c>
    </row>
    <row r="13112" spans="1:2" x14ac:dyDescent="0.3">
      <c r="A13112" s="9" t="str">
        <f>HYPERLINK("http://www.eatonpowersource.com/products/configure/motors/details/104-1039-006","104-1039-006")</f>
        <v>104-1039-006</v>
      </c>
      <c r="B13112" s="10" t="s">
        <v>12678</v>
      </c>
    </row>
    <row r="13113" spans="1:2" x14ac:dyDescent="0.3">
      <c r="A13113" s="7" t="str">
        <f>HYPERLINK("http://www.eatonpowersource.com/products/configure/motors/details/104-1043-006","104-1043-006")</f>
        <v>104-1043-006</v>
      </c>
      <c r="B13113" s="8" t="s">
        <v>12679</v>
      </c>
    </row>
    <row r="13114" spans="1:2" x14ac:dyDescent="0.3">
      <c r="A13114" s="9" t="str">
        <f>HYPERLINK("http://www.eatonpowersource.com/products/configure/motors/details/104-1044-006","104-1044-006")</f>
        <v>104-1044-006</v>
      </c>
      <c r="B13114" s="10" t="s">
        <v>12680</v>
      </c>
    </row>
    <row r="13115" spans="1:2" x14ac:dyDescent="0.3">
      <c r="A13115" s="7" t="str">
        <f>HYPERLINK("http://www.eatonpowersource.com/products/configure/motors/details/104-1045-006","104-1045-006")</f>
        <v>104-1045-006</v>
      </c>
      <c r="B13115" s="8" t="s">
        <v>12681</v>
      </c>
    </row>
    <row r="13116" spans="1:2" x14ac:dyDescent="0.3">
      <c r="A13116" s="9" t="str">
        <f>HYPERLINK("http://www.eatonpowersource.com/products/configure/motors/details/104-1053-006","104-1053-006")</f>
        <v>104-1053-006</v>
      </c>
      <c r="B13116" s="10" t="s">
        <v>12682</v>
      </c>
    </row>
    <row r="13117" spans="1:2" x14ac:dyDescent="0.3">
      <c r="A13117" s="7" t="str">
        <f>HYPERLINK("http://www.eatonpowersource.com/products/configure/motors/details/104-1054-006","104-1054-006")</f>
        <v>104-1054-006</v>
      </c>
      <c r="B13117" s="8" t="s">
        <v>12683</v>
      </c>
    </row>
    <row r="13118" spans="1:2" x14ac:dyDescent="0.3">
      <c r="A13118" s="9" t="str">
        <f>HYPERLINK("http://www.eatonpowersource.com/products/configure/motors/details/104-1060-006","104-1060-006")</f>
        <v>104-1060-006</v>
      </c>
      <c r="B13118" s="10" t="s">
        <v>12684</v>
      </c>
    </row>
    <row r="13119" spans="1:2" x14ac:dyDescent="0.3">
      <c r="A13119" s="7" t="str">
        <f>HYPERLINK("http://www.eatonpowersource.com/products/configure/motors/details/104-1061-006","104-1061-006")</f>
        <v>104-1061-006</v>
      </c>
      <c r="B13119" s="8" t="s">
        <v>12685</v>
      </c>
    </row>
    <row r="13120" spans="1:2" x14ac:dyDescent="0.3">
      <c r="A13120" s="9" t="str">
        <f>HYPERLINK("http://www.eatonpowersource.com/products/configure/motors/details/104-1062-006","104-1062-006")</f>
        <v>104-1062-006</v>
      </c>
      <c r="B13120" s="10" t="s">
        <v>12686</v>
      </c>
    </row>
    <row r="13121" spans="1:2" x14ac:dyDescent="0.3">
      <c r="A13121" s="7" t="str">
        <f>HYPERLINK("http://www.eatonpowersource.com/products/configure/motors/details/104-1063-006","104-1063-006")</f>
        <v>104-1063-006</v>
      </c>
      <c r="B13121" s="8" t="s">
        <v>12687</v>
      </c>
    </row>
    <row r="13122" spans="1:2" x14ac:dyDescent="0.3">
      <c r="A13122" s="9" t="str">
        <f>HYPERLINK("http://www.eatonpowersource.com/products/configure/motors/details/104-1064-006","104-1064-006")</f>
        <v>104-1064-006</v>
      </c>
      <c r="B13122" s="10" t="s">
        <v>12688</v>
      </c>
    </row>
    <row r="13123" spans="1:2" x14ac:dyDescent="0.3">
      <c r="A13123" s="7" t="str">
        <f>HYPERLINK("http://www.eatonpowersource.com/products/configure/motors/details/104-1065-006","104-1065-006")</f>
        <v>104-1065-006</v>
      </c>
      <c r="B13123" s="8" t="s">
        <v>12689</v>
      </c>
    </row>
    <row r="13124" spans="1:2" x14ac:dyDescent="0.3">
      <c r="A13124" s="9" t="str">
        <f>HYPERLINK("http://www.eatonpowersource.com/products/configure/motors/details/104-1066-006","104-1066-006")</f>
        <v>104-1066-006</v>
      </c>
      <c r="B13124" s="10" t="s">
        <v>12690</v>
      </c>
    </row>
    <row r="13125" spans="1:2" x14ac:dyDescent="0.3">
      <c r="A13125" s="7" t="str">
        <f>HYPERLINK("http://www.eatonpowersource.com/products/configure/motors/details/104-1067-006","104-1067-006")</f>
        <v>104-1067-006</v>
      </c>
      <c r="B13125" s="8" t="s">
        <v>12691</v>
      </c>
    </row>
    <row r="13126" spans="1:2" x14ac:dyDescent="0.3">
      <c r="A13126" s="9" t="str">
        <f>HYPERLINK("http://www.eatonpowersource.com/products/configure/motors/details/104-1068-006","104-1068-006")</f>
        <v>104-1068-006</v>
      </c>
      <c r="B13126" s="10" t="s">
        <v>12692</v>
      </c>
    </row>
    <row r="13127" spans="1:2" x14ac:dyDescent="0.3">
      <c r="A13127" s="7" t="str">
        <f>HYPERLINK("http://www.eatonpowersource.com/products/configure/motors/details/104-1073-006","104-1073-006")</f>
        <v>104-1073-006</v>
      </c>
      <c r="B13127" s="8" t="s">
        <v>12693</v>
      </c>
    </row>
    <row r="13128" spans="1:2" x14ac:dyDescent="0.3">
      <c r="A13128" s="9" t="str">
        <f>HYPERLINK("http://www.eatonpowersource.com/products/configure/motors/details/104-1074-006","104-1074-006")</f>
        <v>104-1074-006</v>
      </c>
      <c r="B13128" s="10" t="s">
        <v>12694</v>
      </c>
    </row>
    <row r="13129" spans="1:2" x14ac:dyDescent="0.3">
      <c r="A13129" s="7" t="str">
        <f>HYPERLINK("http://www.eatonpowersource.com/products/configure/motors/details/104-1079-006","104-1079-006")</f>
        <v>104-1079-006</v>
      </c>
      <c r="B13129" s="8" t="s">
        <v>12695</v>
      </c>
    </row>
    <row r="13130" spans="1:2" x14ac:dyDescent="0.3">
      <c r="A13130" s="9" t="str">
        <f>HYPERLINK("http://www.eatonpowersource.com/products/configure/motors/details/104-1081-006","104-1081-006")</f>
        <v>104-1081-006</v>
      </c>
      <c r="B13130" s="10" t="s">
        <v>12696</v>
      </c>
    </row>
    <row r="13131" spans="1:2" x14ac:dyDescent="0.3">
      <c r="A13131" s="7" t="str">
        <f>HYPERLINK("http://www.eatonpowersource.com/products/configure/motors/details/104-1082-006","104-1082-006")</f>
        <v>104-1082-006</v>
      </c>
      <c r="B13131" s="8" t="s">
        <v>12697</v>
      </c>
    </row>
    <row r="13132" spans="1:2" x14ac:dyDescent="0.3">
      <c r="A13132" s="9" t="str">
        <f>HYPERLINK("http://www.eatonpowersource.com/products/configure/motors/details/104-1083-006","104-1083-006")</f>
        <v>104-1083-006</v>
      </c>
      <c r="B13132" s="10" t="s">
        <v>12698</v>
      </c>
    </row>
    <row r="13133" spans="1:2" x14ac:dyDescent="0.3">
      <c r="A13133" s="7" t="str">
        <f>HYPERLINK("http://www.eatonpowersource.com/products/configure/motors/details/104-1084-006","104-1084-006")</f>
        <v>104-1084-006</v>
      </c>
      <c r="B13133" s="8" t="s">
        <v>12699</v>
      </c>
    </row>
    <row r="13134" spans="1:2" x14ac:dyDescent="0.3">
      <c r="A13134" s="9" t="str">
        <f>HYPERLINK("http://www.eatonpowersource.com/products/configure/motors/details/104-1085-006","104-1085-006")</f>
        <v>104-1085-006</v>
      </c>
      <c r="B13134" s="10" t="s">
        <v>12700</v>
      </c>
    </row>
    <row r="13135" spans="1:2" x14ac:dyDescent="0.3">
      <c r="A13135" s="7" t="str">
        <f>HYPERLINK("http://www.eatonpowersource.com/products/configure/motors/details/104-1087-006","104-1087-006")</f>
        <v>104-1087-006</v>
      </c>
      <c r="B13135" s="8" t="s">
        <v>12701</v>
      </c>
    </row>
    <row r="13136" spans="1:2" x14ac:dyDescent="0.3">
      <c r="A13136" s="9" t="str">
        <f>HYPERLINK("http://www.eatonpowersource.com/products/configure/motors/details/104-1088-006","104-1088-006")</f>
        <v>104-1088-006</v>
      </c>
      <c r="B13136" s="10" t="s">
        <v>12702</v>
      </c>
    </row>
    <row r="13137" spans="1:2" x14ac:dyDescent="0.3">
      <c r="A13137" s="7" t="str">
        <f>HYPERLINK("http://www.eatonpowersource.com/products/configure/motors/details/104-1089-006","104-1089-006")</f>
        <v>104-1089-006</v>
      </c>
      <c r="B13137" s="8" t="s">
        <v>12703</v>
      </c>
    </row>
    <row r="13138" spans="1:2" x14ac:dyDescent="0.3">
      <c r="A13138" s="9" t="str">
        <f>HYPERLINK("http://www.eatonpowersource.com/products/configure/motors/details/104-1090-006","104-1090-006")</f>
        <v>104-1090-006</v>
      </c>
      <c r="B13138" s="10" t="s">
        <v>12704</v>
      </c>
    </row>
    <row r="13139" spans="1:2" x14ac:dyDescent="0.3">
      <c r="A13139" s="7" t="str">
        <f>HYPERLINK("http://www.eatonpowersource.com/products/configure/motors/details/104-1091-006","104-1091-006")</f>
        <v>104-1091-006</v>
      </c>
      <c r="B13139" s="8" t="s">
        <v>12705</v>
      </c>
    </row>
    <row r="13140" spans="1:2" x14ac:dyDescent="0.3">
      <c r="A13140" s="9" t="str">
        <f>HYPERLINK("http://www.eatonpowersource.com/products/configure/motors/details/104-1092-006","104-1092-006")</f>
        <v>104-1092-006</v>
      </c>
      <c r="B13140" s="10" t="s">
        <v>12706</v>
      </c>
    </row>
    <row r="13141" spans="1:2" x14ac:dyDescent="0.3">
      <c r="A13141" s="7" t="str">
        <f>HYPERLINK("http://www.eatonpowersource.com/products/configure/motors/details/104-1094-006","104-1094-006")</f>
        <v>104-1094-006</v>
      </c>
      <c r="B13141" s="8" t="s">
        <v>12707</v>
      </c>
    </row>
    <row r="13142" spans="1:2" x14ac:dyDescent="0.3">
      <c r="A13142" s="9" t="str">
        <f>HYPERLINK("http://www.eatonpowersource.com/products/configure/motors/details/104-1143-006","104-1143-006")</f>
        <v>104-1143-006</v>
      </c>
      <c r="B13142" s="10" t="s">
        <v>12708</v>
      </c>
    </row>
    <row r="13143" spans="1:2" x14ac:dyDescent="0.3">
      <c r="A13143" s="7" t="str">
        <f>HYPERLINK("http://www.eatonpowersource.com/products/configure/motors/details/104-1144-006","104-1144-006")</f>
        <v>104-1144-006</v>
      </c>
      <c r="B13143" s="8" t="s">
        <v>12709</v>
      </c>
    </row>
    <row r="13144" spans="1:2" x14ac:dyDescent="0.3">
      <c r="A13144" s="9" t="str">
        <f>HYPERLINK("http://www.eatonpowersource.com/products/configure/motors/details/104-1147-006","104-1147-006")</f>
        <v>104-1147-006</v>
      </c>
      <c r="B13144" s="10" t="s">
        <v>12710</v>
      </c>
    </row>
    <row r="13145" spans="1:2" x14ac:dyDescent="0.3">
      <c r="A13145" s="7" t="str">
        <f>HYPERLINK("http://www.eatonpowersource.com/products/configure/motors/details/104-1148-006","104-1148-006")</f>
        <v>104-1148-006</v>
      </c>
      <c r="B13145" s="8" t="s">
        <v>12711</v>
      </c>
    </row>
    <row r="13146" spans="1:2" x14ac:dyDescent="0.3">
      <c r="A13146" s="9" t="str">
        <f>HYPERLINK("http://www.eatonpowersource.com/products/configure/motors/details/104-1149-006","104-1149-006")</f>
        <v>104-1149-006</v>
      </c>
      <c r="B13146" s="10" t="s">
        <v>12712</v>
      </c>
    </row>
    <row r="13147" spans="1:2" x14ac:dyDescent="0.3">
      <c r="A13147" s="7" t="str">
        <f>HYPERLINK("http://www.eatonpowersource.com/products/configure/motors/details/104-1150-006","104-1150-006")</f>
        <v>104-1150-006</v>
      </c>
      <c r="B13147" s="8" t="s">
        <v>12713</v>
      </c>
    </row>
    <row r="13148" spans="1:2" x14ac:dyDescent="0.3">
      <c r="A13148" s="9" t="str">
        <f>HYPERLINK("http://www.eatonpowersource.com/products/configure/motors/details/104-1192-006","104-1192-006")</f>
        <v>104-1192-006</v>
      </c>
      <c r="B13148" s="10" t="s">
        <v>12714</v>
      </c>
    </row>
    <row r="13149" spans="1:2" x14ac:dyDescent="0.3">
      <c r="A13149" s="7" t="str">
        <f>HYPERLINK("http://www.eatonpowersource.com/products/configure/motors/details/104-1193-006","104-1193-006")</f>
        <v>104-1193-006</v>
      </c>
      <c r="B13149" s="8" t="s">
        <v>12715</v>
      </c>
    </row>
    <row r="13150" spans="1:2" x14ac:dyDescent="0.3">
      <c r="A13150" s="9" t="str">
        <f>HYPERLINK("http://www.eatonpowersource.com/products/configure/motors/details/104-1194-006","104-1194-006")</f>
        <v>104-1194-006</v>
      </c>
      <c r="B13150" s="10" t="s">
        <v>12716</v>
      </c>
    </row>
    <row r="13151" spans="1:2" x14ac:dyDescent="0.3">
      <c r="A13151" s="7" t="str">
        <f>HYPERLINK("http://www.eatonpowersource.com/products/configure/motors/details/104-1195-006","104-1195-006")</f>
        <v>104-1195-006</v>
      </c>
      <c r="B13151" s="8" t="s">
        <v>12717</v>
      </c>
    </row>
    <row r="13152" spans="1:2" x14ac:dyDescent="0.3">
      <c r="A13152" s="9" t="str">
        <f>HYPERLINK("http://www.eatonpowersource.com/products/configure/motors/details/104-1198-006","104-1198-006")</f>
        <v>104-1198-006</v>
      </c>
      <c r="B13152" s="10" t="s">
        <v>12718</v>
      </c>
    </row>
    <row r="13153" spans="1:2" x14ac:dyDescent="0.3">
      <c r="A13153" s="7" t="str">
        <f>HYPERLINK("http://www.eatonpowersource.com/products/configure/motors/details/104-1199-006","104-1199-006")</f>
        <v>104-1199-006</v>
      </c>
      <c r="B13153" s="8" t="s">
        <v>12719</v>
      </c>
    </row>
    <row r="13154" spans="1:2" x14ac:dyDescent="0.3">
      <c r="A13154" s="9" t="str">
        <f>HYPERLINK("http://www.eatonpowersource.com/products/configure/motors/details/104-1200-006","104-1200-006")</f>
        <v>104-1200-006</v>
      </c>
      <c r="B13154" s="10" t="s">
        <v>12720</v>
      </c>
    </row>
    <row r="13155" spans="1:2" x14ac:dyDescent="0.3">
      <c r="A13155" s="7" t="str">
        <f>HYPERLINK("http://www.eatonpowersource.com/products/configure/motors/details/104-1202-006","104-1202-006")</f>
        <v>104-1202-006</v>
      </c>
      <c r="B13155" s="8" t="s">
        <v>12721</v>
      </c>
    </row>
    <row r="13156" spans="1:2" x14ac:dyDescent="0.3">
      <c r="A13156" s="9" t="str">
        <f>HYPERLINK("http://www.eatonpowersource.com/products/configure/motors/details/104-1204-006","104-1204-006")</f>
        <v>104-1204-006</v>
      </c>
      <c r="B13156" s="10" t="s">
        <v>12722</v>
      </c>
    </row>
    <row r="13157" spans="1:2" x14ac:dyDescent="0.3">
      <c r="A13157" s="7" t="str">
        <f>HYPERLINK("http://www.eatonpowersource.com/products/configure/motors/details/104-1205-006","104-1205-006")</f>
        <v>104-1205-006</v>
      </c>
      <c r="B13157" s="8" t="s">
        <v>12723</v>
      </c>
    </row>
    <row r="13158" spans="1:2" x14ac:dyDescent="0.3">
      <c r="A13158" s="9" t="str">
        <f>HYPERLINK("http://www.eatonpowersource.com/products/configure/motors/details/104-1206-006","104-1206-006")</f>
        <v>104-1206-006</v>
      </c>
      <c r="B13158" s="10" t="s">
        <v>12724</v>
      </c>
    </row>
    <row r="13159" spans="1:2" x14ac:dyDescent="0.3">
      <c r="A13159" s="7" t="str">
        <f>HYPERLINK("http://www.eatonpowersource.com/products/configure/motors/details/104-1207-006","104-1207-006")</f>
        <v>104-1207-006</v>
      </c>
      <c r="B13159" s="8" t="s">
        <v>12725</v>
      </c>
    </row>
    <row r="13160" spans="1:2" x14ac:dyDescent="0.3">
      <c r="A13160" s="9" t="str">
        <f>HYPERLINK("http://www.eatonpowersource.com/products/configure/motors/details/104-1208-006","104-1208-006")</f>
        <v>104-1208-006</v>
      </c>
      <c r="B13160" s="10" t="s">
        <v>12726</v>
      </c>
    </row>
    <row r="13161" spans="1:2" x14ac:dyDescent="0.3">
      <c r="A13161" s="7" t="str">
        <f>HYPERLINK("http://www.eatonpowersource.com/products/configure/motors/details/104-1210-006","104-1210-006")</f>
        <v>104-1210-006</v>
      </c>
      <c r="B13161" s="8" t="s">
        <v>12727</v>
      </c>
    </row>
    <row r="13162" spans="1:2" x14ac:dyDescent="0.3">
      <c r="A13162" s="9" t="str">
        <f>HYPERLINK("http://www.eatonpowersource.com/products/configure/motors/details/104-1212-006","104-1212-006")</f>
        <v>104-1212-006</v>
      </c>
      <c r="B13162" s="10" t="s">
        <v>12728</v>
      </c>
    </row>
    <row r="13163" spans="1:2" x14ac:dyDescent="0.3">
      <c r="A13163" s="7" t="str">
        <f>HYPERLINK("http://www.eatonpowersource.com/products/configure/motors/details/104-1213-006","104-1213-006")</f>
        <v>104-1213-006</v>
      </c>
      <c r="B13163" s="8" t="s">
        <v>12729</v>
      </c>
    </row>
    <row r="13164" spans="1:2" x14ac:dyDescent="0.3">
      <c r="A13164" s="9" t="str">
        <f>HYPERLINK("http://www.eatonpowersource.com/products/configure/motors/details/104-1216-006","104-1216-006")</f>
        <v>104-1216-006</v>
      </c>
      <c r="B13164" s="10" t="s">
        <v>12730</v>
      </c>
    </row>
    <row r="13165" spans="1:2" x14ac:dyDescent="0.3">
      <c r="A13165" s="7" t="str">
        <f>HYPERLINK("http://www.eatonpowersource.com/products/configure/motors/details/104-1217-006","104-1217-006")</f>
        <v>104-1217-006</v>
      </c>
      <c r="B13165" s="8" t="s">
        <v>12731</v>
      </c>
    </row>
    <row r="13166" spans="1:2" x14ac:dyDescent="0.3">
      <c r="A13166" s="9" t="str">
        <f>HYPERLINK("http://www.eatonpowersource.com/products/configure/motors/details/104-1218-006","104-1218-006")</f>
        <v>104-1218-006</v>
      </c>
      <c r="B13166" s="10" t="s">
        <v>12732</v>
      </c>
    </row>
    <row r="13167" spans="1:2" x14ac:dyDescent="0.3">
      <c r="A13167" s="7" t="str">
        <f>HYPERLINK("http://www.eatonpowersource.com/products/configure/motors/details/104-1226-006","104-1226-006")</f>
        <v>104-1226-006</v>
      </c>
      <c r="B13167" s="8" t="s">
        <v>12733</v>
      </c>
    </row>
    <row r="13168" spans="1:2" x14ac:dyDescent="0.3">
      <c r="A13168" s="9" t="str">
        <f>HYPERLINK("http://www.eatonpowersource.com/products/configure/motors/details/104-1227-006","104-1227-006")</f>
        <v>104-1227-006</v>
      </c>
      <c r="B13168" s="10" t="s">
        <v>12734</v>
      </c>
    </row>
    <row r="13169" spans="1:2" x14ac:dyDescent="0.3">
      <c r="A13169" s="7" t="str">
        <f>HYPERLINK("http://www.eatonpowersource.com/products/configure/motors/details/104-1228-006","104-1228-006")</f>
        <v>104-1228-006</v>
      </c>
      <c r="B13169" s="8" t="s">
        <v>12735</v>
      </c>
    </row>
    <row r="13170" spans="1:2" x14ac:dyDescent="0.3">
      <c r="A13170" s="9" t="str">
        <f>HYPERLINK("http://www.eatonpowersource.com/products/configure/motors/details/104-1229-006","104-1229-006")</f>
        <v>104-1229-006</v>
      </c>
      <c r="B13170" s="10" t="s">
        <v>12736</v>
      </c>
    </row>
    <row r="13171" spans="1:2" x14ac:dyDescent="0.3">
      <c r="A13171" s="7" t="str">
        <f>HYPERLINK("http://www.eatonpowersource.com/products/configure/motors/details/104-1246-006","104-1246-006")</f>
        <v>104-1246-006</v>
      </c>
      <c r="B13171" s="8" t="s">
        <v>12737</v>
      </c>
    </row>
    <row r="13172" spans="1:2" x14ac:dyDescent="0.3">
      <c r="A13172" s="9" t="str">
        <f>HYPERLINK("http://www.eatonpowersource.com/products/configure/motors/details/104-1247-006","104-1247-006")</f>
        <v>104-1247-006</v>
      </c>
      <c r="B13172" s="10" t="s">
        <v>12738</v>
      </c>
    </row>
    <row r="13173" spans="1:2" x14ac:dyDescent="0.3">
      <c r="A13173" s="7" t="str">
        <f>HYPERLINK("http://www.eatonpowersource.com/products/configure/motors/details/104-1248-006","104-1248-006")</f>
        <v>104-1248-006</v>
      </c>
      <c r="B13173" s="8" t="s">
        <v>12739</v>
      </c>
    </row>
    <row r="13174" spans="1:2" x14ac:dyDescent="0.3">
      <c r="A13174" s="9" t="str">
        <f>HYPERLINK("http://www.eatonpowersource.com/products/configure/motors/details/104-1250-006","104-1250-006")</f>
        <v>104-1250-006</v>
      </c>
      <c r="B13174" s="10" t="s">
        <v>12740</v>
      </c>
    </row>
    <row r="13175" spans="1:2" x14ac:dyDescent="0.3">
      <c r="A13175" s="7" t="str">
        <f>HYPERLINK("http://www.eatonpowersource.com/products/configure/motors/details/104-1251-006","104-1251-006")</f>
        <v>104-1251-006</v>
      </c>
      <c r="B13175" s="8" t="s">
        <v>12741</v>
      </c>
    </row>
    <row r="13176" spans="1:2" x14ac:dyDescent="0.3">
      <c r="A13176" s="9" t="str">
        <f>HYPERLINK("http://www.eatonpowersource.com/products/configure/motors/details/104-1252-006","104-1252-006")</f>
        <v>104-1252-006</v>
      </c>
      <c r="B13176" s="10" t="s">
        <v>12742</v>
      </c>
    </row>
    <row r="13177" spans="1:2" x14ac:dyDescent="0.3">
      <c r="A13177" s="7" t="str">
        <f>HYPERLINK("http://www.eatonpowersource.com/products/configure/motors/details/104-1258-006","104-1258-006")</f>
        <v>104-1258-006</v>
      </c>
      <c r="B13177" s="8" t="s">
        <v>12743</v>
      </c>
    </row>
    <row r="13178" spans="1:2" x14ac:dyDescent="0.3">
      <c r="A13178" s="9" t="str">
        <f>HYPERLINK("http://www.eatonpowersource.com/products/configure/motors/details/104-1259-006","104-1259-006")</f>
        <v>104-1259-006</v>
      </c>
      <c r="B13178" s="10" t="s">
        <v>12744</v>
      </c>
    </row>
    <row r="13179" spans="1:2" x14ac:dyDescent="0.3">
      <c r="A13179" s="7" t="str">
        <f>HYPERLINK("http://www.eatonpowersource.com/products/configure/motors/details/104-1261-006","104-1261-006")</f>
        <v>104-1261-006</v>
      </c>
      <c r="B13179" s="8" t="s">
        <v>12745</v>
      </c>
    </row>
    <row r="13180" spans="1:2" x14ac:dyDescent="0.3">
      <c r="A13180" s="9" t="str">
        <f>HYPERLINK("http://www.eatonpowersource.com/products/configure/motors/details/104-1282-006","104-1282-006")</f>
        <v>104-1282-006</v>
      </c>
      <c r="B13180" s="10" t="s">
        <v>12746</v>
      </c>
    </row>
    <row r="13181" spans="1:2" x14ac:dyDescent="0.3">
      <c r="A13181" s="7" t="str">
        <f>HYPERLINK("http://www.eatonpowersource.com/products/configure/motors/details/104-1327-006","104-1327-006")</f>
        <v>104-1327-006</v>
      </c>
      <c r="B13181" s="8" t="s">
        <v>12747</v>
      </c>
    </row>
    <row r="13182" spans="1:2" x14ac:dyDescent="0.3">
      <c r="A13182" s="9" t="str">
        <f>HYPERLINK("http://www.eatonpowersource.com/products/configure/motors/details/104-1346-006","104-1346-006")</f>
        <v>104-1346-006</v>
      </c>
      <c r="B13182" s="10" t="s">
        <v>12748</v>
      </c>
    </row>
    <row r="13183" spans="1:2" x14ac:dyDescent="0.3">
      <c r="A13183" s="7" t="str">
        <f>HYPERLINK("http://www.eatonpowersource.com/products/configure/motors/details/104-1375-006","104-1375-006")</f>
        <v>104-1375-006</v>
      </c>
      <c r="B13183" s="8" t="s">
        <v>12749</v>
      </c>
    </row>
    <row r="13184" spans="1:2" x14ac:dyDescent="0.3">
      <c r="A13184" s="9" t="str">
        <f>HYPERLINK("http://www.eatonpowersource.com/products/configure/motors/details/104-1376-006","104-1376-006")</f>
        <v>104-1376-006</v>
      </c>
      <c r="B13184" s="10" t="s">
        <v>12750</v>
      </c>
    </row>
    <row r="13185" spans="1:2" x14ac:dyDescent="0.3">
      <c r="A13185" s="7" t="str">
        <f>HYPERLINK("http://www.eatonpowersource.com/products/configure/motors/details/104-1377-006","104-1377-006")</f>
        <v>104-1377-006</v>
      </c>
      <c r="B13185" s="8" t="s">
        <v>12751</v>
      </c>
    </row>
    <row r="13186" spans="1:2" x14ac:dyDescent="0.3">
      <c r="A13186" s="9" t="str">
        <f>HYPERLINK("http://www.eatonpowersource.com/products/configure/motors/details/104-1379-006","104-1379-006")</f>
        <v>104-1379-006</v>
      </c>
      <c r="B13186" s="10" t="s">
        <v>12752</v>
      </c>
    </row>
    <row r="13187" spans="1:2" x14ac:dyDescent="0.3">
      <c r="A13187" s="7" t="str">
        <f>HYPERLINK("http://www.eatonpowersource.com/products/configure/motors/details/104-1380-006","104-1380-006")</f>
        <v>104-1380-006</v>
      </c>
      <c r="B13187" s="8" t="s">
        <v>12753</v>
      </c>
    </row>
    <row r="13188" spans="1:2" x14ac:dyDescent="0.3">
      <c r="A13188" s="9" t="str">
        <f>HYPERLINK("http://www.eatonpowersource.com/products/configure/motors/details/104-1381-006","104-1381-006")</f>
        <v>104-1381-006</v>
      </c>
      <c r="B13188" s="10" t="s">
        <v>12754</v>
      </c>
    </row>
    <row r="13189" spans="1:2" x14ac:dyDescent="0.3">
      <c r="A13189" s="7" t="str">
        <f>HYPERLINK("http://www.eatonpowersource.com/products/configure/motors/details/104-1382-006","104-1382-006")</f>
        <v>104-1382-006</v>
      </c>
      <c r="B13189" s="8" t="s">
        <v>12755</v>
      </c>
    </row>
    <row r="13190" spans="1:2" x14ac:dyDescent="0.3">
      <c r="A13190" s="9" t="str">
        <f>HYPERLINK("http://www.eatonpowersource.com/products/configure/motors/details/104-1383-006","104-1383-006")</f>
        <v>104-1383-006</v>
      </c>
      <c r="B13190" s="10" t="s">
        <v>12756</v>
      </c>
    </row>
    <row r="13191" spans="1:2" x14ac:dyDescent="0.3">
      <c r="A13191" s="7" t="str">
        <f>HYPERLINK("http://www.eatonpowersource.com/products/configure/motors/details/104-1384-006","104-1384-006")</f>
        <v>104-1384-006</v>
      </c>
      <c r="B13191" s="8" t="s">
        <v>12757</v>
      </c>
    </row>
    <row r="13192" spans="1:2" x14ac:dyDescent="0.3">
      <c r="A13192" s="9" t="str">
        <f>HYPERLINK("http://www.eatonpowersource.com/products/configure/motors/details/104-1385-006","104-1385-006")</f>
        <v>104-1385-006</v>
      </c>
      <c r="B13192" s="10" t="s">
        <v>12758</v>
      </c>
    </row>
    <row r="13193" spans="1:2" x14ac:dyDescent="0.3">
      <c r="A13193" s="7" t="str">
        <f>HYPERLINK("http://www.eatonpowersource.com/products/configure/motors/details/104-1386-006","104-1386-006")</f>
        <v>104-1386-006</v>
      </c>
      <c r="B13193" s="8" t="s">
        <v>12759</v>
      </c>
    </row>
    <row r="13194" spans="1:2" x14ac:dyDescent="0.3">
      <c r="A13194" s="9" t="str">
        <f>HYPERLINK("http://www.eatonpowersource.com/products/configure/motors/details/104-1387-006","104-1387-006")</f>
        <v>104-1387-006</v>
      </c>
      <c r="B13194" s="10" t="s">
        <v>12760</v>
      </c>
    </row>
    <row r="13195" spans="1:2" x14ac:dyDescent="0.3">
      <c r="A13195" s="7" t="str">
        <f>HYPERLINK("http://www.eatonpowersource.com/products/configure/motors/details/104-1388-006","104-1388-006")</f>
        <v>104-1388-006</v>
      </c>
      <c r="B13195" s="8" t="s">
        <v>12761</v>
      </c>
    </row>
    <row r="13196" spans="1:2" x14ac:dyDescent="0.3">
      <c r="A13196" s="9" t="str">
        <f>HYPERLINK("http://www.eatonpowersource.com/products/configure/motors/details/104-1389-006","104-1389-006")</f>
        <v>104-1389-006</v>
      </c>
      <c r="B13196" s="10" t="s">
        <v>12762</v>
      </c>
    </row>
    <row r="13197" spans="1:2" x14ac:dyDescent="0.3">
      <c r="A13197" s="7" t="str">
        <f>HYPERLINK("http://www.eatonpowersource.com/products/configure/motors/details/104-1390-006","104-1390-006")</f>
        <v>104-1390-006</v>
      </c>
      <c r="B13197" s="8" t="s">
        <v>12763</v>
      </c>
    </row>
    <row r="13198" spans="1:2" x14ac:dyDescent="0.3">
      <c r="A13198" s="9" t="str">
        <f>HYPERLINK("http://www.eatonpowersource.com/products/configure/motors/details/104-1391-006","104-1391-006")</f>
        <v>104-1391-006</v>
      </c>
      <c r="B13198" s="10" t="s">
        <v>12764</v>
      </c>
    </row>
    <row r="13199" spans="1:2" x14ac:dyDescent="0.3">
      <c r="A13199" s="7" t="str">
        <f>HYPERLINK("http://www.eatonpowersource.com/products/configure/motors/details/104-1392-006","104-1392-006")</f>
        <v>104-1392-006</v>
      </c>
      <c r="B13199" s="8" t="s">
        <v>12765</v>
      </c>
    </row>
    <row r="13200" spans="1:2" x14ac:dyDescent="0.3">
      <c r="A13200" s="9" t="str">
        <f>HYPERLINK("http://www.eatonpowersource.com/products/configure/motors/details/104-1396-006","104-1396-006")</f>
        <v>104-1396-006</v>
      </c>
      <c r="B13200" s="10" t="s">
        <v>12766</v>
      </c>
    </row>
    <row r="13201" spans="1:2" x14ac:dyDescent="0.3">
      <c r="A13201" s="7" t="str">
        <f>HYPERLINK("http://www.eatonpowersource.com/products/configure/motors/details/104-1397-006","104-1397-006")</f>
        <v>104-1397-006</v>
      </c>
      <c r="B13201" s="8" t="s">
        <v>12767</v>
      </c>
    </row>
    <row r="13202" spans="1:2" x14ac:dyDescent="0.3">
      <c r="A13202" s="9" t="str">
        <f>HYPERLINK("http://www.eatonpowersource.com/products/configure/motors/details/104-1399-006","104-1399-006")</f>
        <v>104-1399-006</v>
      </c>
      <c r="B13202" s="10" t="s">
        <v>12768</v>
      </c>
    </row>
    <row r="13203" spans="1:2" x14ac:dyDescent="0.3">
      <c r="A13203" s="7" t="str">
        <f>HYPERLINK("http://www.eatonpowersource.com/products/configure/motors/details/104-1401-006","104-1401-006")</f>
        <v>104-1401-006</v>
      </c>
      <c r="B13203" s="8" t="s">
        <v>12769</v>
      </c>
    </row>
    <row r="13204" spans="1:2" x14ac:dyDescent="0.3">
      <c r="A13204" s="9" t="str">
        <f>HYPERLINK("http://www.eatonpowersource.com/products/configure/motors/details/104-1404-006","104-1404-006")</f>
        <v>104-1404-006</v>
      </c>
      <c r="B13204" s="10" t="s">
        <v>12770</v>
      </c>
    </row>
    <row r="13205" spans="1:2" x14ac:dyDescent="0.3">
      <c r="A13205" s="7" t="str">
        <f>HYPERLINK("http://www.eatonpowersource.com/products/configure/motors/details/104-1406-006","104-1406-006")</f>
        <v>104-1406-006</v>
      </c>
      <c r="B13205" s="8" t="s">
        <v>12771</v>
      </c>
    </row>
    <row r="13206" spans="1:2" x14ac:dyDescent="0.3">
      <c r="A13206" s="9" t="str">
        <f>HYPERLINK("http://www.eatonpowersource.com/products/configure/motors/details/104-1415-006","104-1415-006")</f>
        <v>104-1415-006</v>
      </c>
      <c r="B13206" s="10" t="s">
        <v>12772</v>
      </c>
    </row>
    <row r="13207" spans="1:2" x14ac:dyDescent="0.3">
      <c r="A13207" s="7" t="str">
        <f>HYPERLINK("http://www.eatonpowersource.com/products/configure/motors/details/104-1419-006","104-1419-006")</f>
        <v>104-1419-006</v>
      </c>
      <c r="B13207" s="8" t="s">
        <v>12773</v>
      </c>
    </row>
    <row r="13208" spans="1:2" x14ac:dyDescent="0.3">
      <c r="A13208" s="9" t="str">
        <f>HYPERLINK("http://www.eatonpowersource.com/products/configure/motors/details/104-1420-006","104-1420-006")</f>
        <v>104-1420-006</v>
      </c>
      <c r="B13208" s="10" t="s">
        <v>12774</v>
      </c>
    </row>
    <row r="13209" spans="1:2" x14ac:dyDescent="0.3">
      <c r="A13209" s="7" t="str">
        <f>HYPERLINK("http://www.eatonpowersource.com/products/configure/motors/details/104-1421-006","104-1421-006")</f>
        <v>104-1421-006</v>
      </c>
      <c r="B13209" s="8" t="s">
        <v>12775</v>
      </c>
    </row>
    <row r="13210" spans="1:2" x14ac:dyDescent="0.3">
      <c r="A13210" s="9" t="str">
        <f>HYPERLINK("http://www.eatonpowersource.com/products/configure/motors/details/104-1422-006","104-1422-006")</f>
        <v>104-1422-006</v>
      </c>
      <c r="B13210" s="10" t="s">
        <v>12776</v>
      </c>
    </row>
    <row r="13211" spans="1:2" x14ac:dyDescent="0.3">
      <c r="A13211" s="7" t="str">
        <f>HYPERLINK("http://www.eatonpowersource.com/products/configure/motors/details/104-1423-006","104-1423-006")</f>
        <v>104-1423-006</v>
      </c>
      <c r="B13211" s="8" t="s">
        <v>12777</v>
      </c>
    </row>
    <row r="13212" spans="1:2" x14ac:dyDescent="0.3">
      <c r="A13212" s="9" t="str">
        <f>HYPERLINK("http://www.eatonpowersource.com/products/configure/motors/details/104-1424-006","104-1424-006")</f>
        <v>104-1424-006</v>
      </c>
      <c r="B13212" s="10" t="s">
        <v>12778</v>
      </c>
    </row>
    <row r="13213" spans="1:2" x14ac:dyDescent="0.3">
      <c r="A13213" s="7" t="str">
        <f>HYPERLINK("http://www.eatonpowersource.com/products/configure/motors/details/104-1425-006","104-1425-006")</f>
        <v>104-1425-006</v>
      </c>
      <c r="B13213" s="8" t="s">
        <v>12779</v>
      </c>
    </row>
    <row r="13214" spans="1:2" x14ac:dyDescent="0.3">
      <c r="A13214" s="9" t="str">
        <f>HYPERLINK("http://www.eatonpowersource.com/products/configure/motors/details/104-1426-006","104-1426-006")</f>
        <v>104-1426-006</v>
      </c>
      <c r="B13214" s="10" t="s">
        <v>12780</v>
      </c>
    </row>
    <row r="13215" spans="1:2" x14ac:dyDescent="0.3">
      <c r="A13215" s="7" t="str">
        <f>HYPERLINK("http://www.eatonpowersource.com/products/configure/motors/details/104-1427-006","104-1427-006")</f>
        <v>104-1427-006</v>
      </c>
      <c r="B13215" s="8" t="s">
        <v>12781</v>
      </c>
    </row>
    <row r="13216" spans="1:2" x14ac:dyDescent="0.3">
      <c r="A13216" s="9" t="str">
        <f>HYPERLINK("http://www.eatonpowersource.com/products/configure/motors/details/104-1428-006","104-1428-006")</f>
        <v>104-1428-006</v>
      </c>
      <c r="B13216" s="10" t="s">
        <v>12782</v>
      </c>
    </row>
    <row r="13217" spans="1:2" x14ac:dyDescent="0.3">
      <c r="A13217" s="7" t="str">
        <f>HYPERLINK("http://www.eatonpowersource.com/products/configure/motors/details/104-1431-006","104-1431-006")</f>
        <v>104-1431-006</v>
      </c>
      <c r="B13217" s="8" t="s">
        <v>12783</v>
      </c>
    </row>
    <row r="13218" spans="1:2" x14ac:dyDescent="0.3">
      <c r="A13218" s="9" t="str">
        <f>HYPERLINK("http://www.eatonpowersource.com/products/configure/motors/details/104-1432-006","104-1432-006")</f>
        <v>104-1432-006</v>
      </c>
      <c r="B13218" s="10" t="s">
        <v>12784</v>
      </c>
    </row>
    <row r="13219" spans="1:2" x14ac:dyDescent="0.3">
      <c r="A13219" s="7" t="str">
        <f>HYPERLINK("http://www.eatonpowersource.com/products/configure/motors/details/104-1434-006","104-1434-006")</f>
        <v>104-1434-006</v>
      </c>
      <c r="B13219" s="8" t="s">
        <v>12785</v>
      </c>
    </row>
    <row r="13220" spans="1:2" x14ac:dyDescent="0.3">
      <c r="A13220" s="9" t="str">
        <f>HYPERLINK("http://www.eatonpowersource.com/products/configure/motors/details/104-1436-006","104-1436-006")</f>
        <v>104-1436-006</v>
      </c>
      <c r="B13220" s="10" t="s">
        <v>12786</v>
      </c>
    </row>
    <row r="13221" spans="1:2" x14ac:dyDescent="0.3">
      <c r="A13221" s="7" t="str">
        <f>HYPERLINK("http://www.eatonpowersource.com/products/configure/motors/details/104-1438-006","104-1438-006")</f>
        <v>104-1438-006</v>
      </c>
      <c r="B13221" s="8" t="s">
        <v>12787</v>
      </c>
    </row>
    <row r="13222" spans="1:2" x14ac:dyDescent="0.3">
      <c r="A13222" s="9" t="str">
        <f>HYPERLINK("http://www.eatonpowersource.com/products/configure/motors/details/104-1439-006","104-1439-006")</f>
        <v>104-1439-006</v>
      </c>
      <c r="B13222" s="10" t="s">
        <v>12788</v>
      </c>
    </row>
    <row r="13223" spans="1:2" x14ac:dyDescent="0.3">
      <c r="A13223" s="7" t="str">
        <f>HYPERLINK("http://www.eatonpowersource.com/products/configure/motors/details/104-1442-006","104-1442-006")</f>
        <v>104-1442-006</v>
      </c>
      <c r="B13223" s="8" t="s">
        <v>12789</v>
      </c>
    </row>
    <row r="13224" spans="1:2" x14ac:dyDescent="0.3">
      <c r="A13224" s="9" t="str">
        <f>HYPERLINK("http://www.eatonpowersource.com/products/configure/motors/details/104-1444-006","104-1444-006")</f>
        <v>104-1444-006</v>
      </c>
      <c r="B13224" s="10" t="s">
        <v>12790</v>
      </c>
    </row>
    <row r="13225" spans="1:2" x14ac:dyDescent="0.3">
      <c r="A13225" s="7" t="str">
        <f>HYPERLINK("http://www.eatonpowersource.com/products/configure/motors/details/104-1445-006","104-1445-006")</f>
        <v>104-1445-006</v>
      </c>
      <c r="B13225" s="8" t="s">
        <v>12791</v>
      </c>
    </row>
    <row r="13226" spans="1:2" x14ac:dyDescent="0.3">
      <c r="A13226" s="9" t="str">
        <f>HYPERLINK("http://www.eatonpowersource.com/products/configure/motors/details/104-1446-006","104-1446-006")</f>
        <v>104-1446-006</v>
      </c>
      <c r="B13226" s="10" t="s">
        <v>12792</v>
      </c>
    </row>
    <row r="13227" spans="1:2" x14ac:dyDescent="0.3">
      <c r="A13227" s="7" t="str">
        <f>HYPERLINK("http://www.eatonpowersource.com/products/configure/motors/details/104-1447-006","104-1447-006")</f>
        <v>104-1447-006</v>
      </c>
      <c r="B13227" s="8" t="s">
        <v>12793</v>
      </c>
    </row>
    <row r="13228" spans="1:2" x14ac:dyDescent="0.3">
      <c r="A13228" s="9" t="str">
        <f>HYPERLINK("http://www.eatonpowersource.com/products/configure/motors/details/104-1450-006","104-1450-006")</f>
        <v>104-1450-006</v>
      </c>
      <c r="B13228" s="10" t="s">
        <v>12794</v>
      </c>
    </row>
    <row r="13229" spans="1:2" x14ac:dyDescent="0.3">
      <c r="A13229" s="7" t="str">
        <f>HYPERLINK("http://www.eatonpowersource.com/products/configure/motors/details/104-1455-006","104-1455-006")</f>
        <v>104-1455-006</v>
      </c>
      <c r="B13229" s="8" t="s">
        <v>12795</v>
      </c>
    </row>
    <row r="13230" spans="1:2" x14ac:dyDescent="0.3">
      <c r="A13230" s="9" t="str">
        <f>HYPERLINK("http://www.eatonpowersource.com/products/configure/motors/details/104-1460-006","104-1460-006")</f>
        <v>104-1460-006</v>
      </c>
      <c r="B13230" s="10" t="s">
        <v>12796</v>
      </c>
    </row>
    <row r="13231" spans="1:2" x14ac:dyDescent="0.3">
      <c r="A13231" s="7" t="str">
        <f>HYPERLINK("http://www.eatonpowersource.com/products/configure/motors/details/104-1467-006","104-1467-006")</f>
        <v>104-1467-006</v>
      </c>
      <c r="B13231" s="8" t="s">
        <v>12797</v>
      </c>
    </row>
    <row r="13232" spans="1:2" x14ac:dyDescent="0.3">
      <c r="A13232" s="9" t="str">
        <f>HYPERLINK("http://www.eatonpowersource.com/products/configure/motors/details/104-1470-006","104-1470-006")</f>
        <v>104-1470-006</v>
      </c>
      <c r="B13232" s="10" t="s">
        <v>12798</v>
      </c>
    </row>
    <row r="13233" spans="1:2" x14ac:dyDescent="0.3">
      <c r="A13233" s="7" t="str">
        <f>HYPERLINK("http://www.eatonpowersource.com/products/configure/motors/details/104-1471-006","104-1471-006")</f>
        <v>104-1471-006</v>
      </c>
      <c r="B13233" s="8" t="s">
        <v>12799</v>
      </c>
    </row>
    <row r="13234" spans="1:2" x14ac:dyDescent="0.3">
      <c r="A13234" s="9" t="str">
        <f>HYPERLINK("http://www.eatonpowersource.com/products/configure/motors/details/104-1472-006","104-1472-006")</f>
        <v>104-1472-006</v>
      </c>
      <c r="B13234" s="10" t="s">
        <v>12800</v>
      </c>
    </row>
    <row r="13235" spans="1:2" x14ac:dyDescent="0.3">
      <c r="A13235" s="7" t="str">
        <f>HYPERLINK("http://www.eatonpowersource.com/products/configure/motors/details/104-1473-006","104-1473-006")</f>
        <v>104-1473-006</v>
      </c>
      <c r="B13235" s="8" t="s">
        <v>12801</v>
      </c>
    </row>
    <row r="13236" spans="1:2" x14ac:dyDescent="0.3">
      <c r="A13236" s="9" t="str">
        <f>HYPERLINK("http://www.eatonpowersource.com/products/configure/motors/details/104-1474-006","104-1474-006")</f>
        <v>104-1474-006</v>
      </c>
      <c r="B13236" s="10" t="s">
        <v>12802</v>
      </c>
    </row>
    <row r="13237" spans="1:2" x14ac:dyDescent="0.3">
      <c r="A13237" s="7" t="str">
        <f>HYPERLINK("http://www.eatonpowersource.com/products/configure/motors/details/104-1478-006","104-1478-006")</f>
        <v>104-1478-006</v>
      </c>
      <c r="B13237" s="8" t="s">
        <v>12803</v>
      </c>
    </row>
    <row r="13238" spans="1:2" x14ac:dyDescent="0.3">
      <c r="A13238" s="9" t="str">
        <f>HYPERLINK("http://www.eatonpowersource.com/products/configure/motors/details/104-1479-006","104-1479-006")</f>
        <v>104-1479-006</v>
      </c>
      <c r="B13238" s="10" t="s">
        <v>12804</v>
      </c>
    </row>
    <row r="13239" spans="1:2" x14ac:dyDescent="0.3">
      <c r="A13239" s="7" t="str">
        <f>HYPERLINK("http://www.eatonpowersource.com/products/configure/motors/details/104-1489-006","104-1489-006")</f>
        <v>104-1489-006</v>
      </c>
      <c r="B13239" s="8" t="s">
        <v>12805</v>
      </c>
    </row>
    <row r="13240" spans="1:2" x14ac:dyDescent="0.3">
      <c r="A13240" s="9" t="str">
        <f>HYPERLINK("http://www.eatonpowersource.com/products/configure/motors/details/104-1491-006","104-1491-006")</f>
        <v>104-1491-006</v>
      </c>
      <c r="B13240" s="10" t="s">
        <v>12806</v>
      </c>
    </row>
    <row r="13241" spans="1:2" x14ac:dyDescent="0.3">
      <c r="A13241" s="7" t="str">
        <f>HYPERLINK("http://www.eatonpowersource.com/products/configure/motors/details/104-1494-006","104-1494-006")</f>
        <v>104-1494-006</v>
      </c>
      <c r="B13241" s="8" t="s">
        <v>12807</v>
      </c>
    </row>
    <row r="13242" spans="1:2" x14ac:dyDescent="0.3">
      <c r="A13242" s="9" t="str">
        <f>HYPERLINK("http://www.eatonpowersource.com/products/configure/motors/details/104-1496-006","104-1496-006")</f>
        <v>104-1496-006</v>
      </c>
      <c r="B13242" s="10" t="s">
        <v>12808</v>
      </c>
    </row>
    <row r="13243" spans="1:2" x14ac:dyDescent="0.3">
      <c r="A13243" s="7" t="str">
        <f>HYPERLINK("http://www.eatonpowersource.com/products/configure/motors/details/104-1498-006","104-1498-006")</f>
        <v>104-1498-006</v>
      </c>
      <c r="B13243" s="8" t="s">
        <v>12809</v>
      </c>
    </row>
    <row r="13244" spans="1:2" x14ac:dyDescent="0.3">
      <c r="A13244" s="9" t="str">
        <f>HYPERLINK("http://www.eatonpowersource.com/products/configure/motors/details/104-1499-006","104-1499-006")</f>
        <v>104-1499-006</v>
      </c>
      <c r="B13244" s="10" t="s">
        <v>12810</v>
      </c>
    </row>
    <row r="13245" spans="1:2" x14ac:dyDescent="0.3">
      <c r="A13245" s="7" t="str">
        <f>HYPERLINK("http://www.eatonpowersource.com/products/configure/motors/details/104-1500-006","104-1500-006")</f>
        <v>104-1500-006</v>
      </c>
      <c r="B13245" s="8" t="s">
        <v>12811</v>
      </c>
    </row>
    <row r="13246" spans="1:2" x14ac:dyDescent="0.3">
      <c r="A13246" s="9" t="str">
        <f>HYPERLINK("http://www.eatonpowersource.com/products/configure/motors/details/104-1503-006","104-1503-006")</f>
        <v>104-1503-006</v>
      </c>
      <c r="B13246" s="10" t="s">
        <v>12812</v>
      </c>
    </row>
    <row r="13247" spans="1:2" x14ac:dyDescent="0.3">
      <c r="A13247" s="7" t="str">
        <f>HYPERLINK("http://www.eatonpowersource.com/products/configure/motors/details/104-1504-006","104-1504-006")</f>
        <v>104-1504-006</v>
      </c>
      <c r="B13247" s="8" t="s">
        <v>12813</v>
      </c>
    </row>
    <row r="13248" spans="1:2" x14ac:dyDescent="0.3">
      <c r="A13248" s="9" t="str">
        <f>HYPERLINK("http://www.eatonpowersource.com/products/configure/motors/details/104-1505-006","104-1505-006")</f>
        <v>104-1505-006</v>
      </c>
      <c r="B13248" s="10" t="s">
        <v>12814</v>
      </c>
    </row>
    <row r="13249" spans="1:2" x14ac:dyDescent="0.3">
      <c r="A13249" s="7" t="str">
        <f>HYPERLINK("http://www.eatonpowersource.com/products/configure/motors/details/104-1508-006","104-1508-006")</f>
        <v>104-1508-006</v>
      </c>
      <c r="B13249" s="8" t="s">
        <v>12815</v>
      </c>
    </row>
    <row r="13250" spans="1:2" x14ac:dyDescent="0.3">
      <c r="A13250" s="9" t="str">
        <f>HYPERLINK("http://www.eatonpowersource.com/products/configure/motors/details/104-1509-006","104-1509-006")</f>
        <v>104-1509-006</v>
      </c>
      <c r="B13250" s="10" t="s">
        <v>12816</v>
      </c>
    </row>
    <row r="13251" spans="1:2" x14ac:dyDescent="0.3">
      <c r="A13251" s="7" t="str">
        <f>HYPERLINK("http://www.eatonpowersource.com/products/configure/motors/details/104-1520-006","104-1520-006")</f>
        <v>104-1520-006</v>
      </c>
      <c r="B13251" s="8" t="s">
        <v>12817</v>
      </c>
    </row>
    <row r="13252" spans="1:2" x14ac:dyDescent="0.3">
      <c r="A13252" s="9" t="str">
        <f>HYPERLINK("http://www.eatonpowersource.com/products/configure/motors/details/104-1522-006","104-1522-006")</f>
        <v>104-1522-006</v>
      </c>
      <c r="B13252" s="10" t="s">
        <v>12818</v>
      </c>
    </row>
    <row r="13253" spans="1:2" x14ac:dyDescent="0.3">
      <c r="A13253" s="7" t="str">
        <f>HYPERLINK("http://www.eatonpowersource.com/products/configure/motors/details/104-1523-006","104-1523-006")</f>
        <v>104-1523-006</v>
      </c>
      <c r="B13253" s="8" t="s">
        <v>12819</v>
      </c>
    </row>
    <row r="13254" spans="1:2" x14ac:dyDescent="0.3">
      <c r="A13254" s="9" t="str">
        <f>HYPERLINK("http://www.eatonpowersource.com/products/configure/motors/details/104-1527-006","104-1527-006")</f>
        <v>104-1527-006</v>
      </c>
      <c r="B13254" s="10" t="s">
        <v>12820</v>
      </c>
    </row>
    <row r="13255" spans="1:2" x14ac:dyDescent="0.3">
      <c r="A13255" s="7" t="str">
        <f>HYPERLINK("http://www.eatonpowersource.com/products/configure/motors/details/104-1528-006","104-1528-006")</f>
        <v>104-1528-006</v>
      </c>
      <c r="B13255" s="8" t="s">
        <v>12821</v>
      </c>
    </row>
    <row r="13256" spans="1:2" x14ac:dyDescent="0.3">
      <c r="A13256" s="9" t="str">
        <f>HYPERLINK("http://www.eatonpowersource.com/products/configure/motors/details/104-1529-006","104-1529-006")</f>
        <v>104-1529-006</v>
      </c>
      <c r="B13256" s="10" t="s">
        <v>12822</v>
      </c>
    </row>
    <row r="13257" spans="1:2" x14ac:dyDescent="0.3">
      <c r="A13257" s="7" t="str">
        <f>HYPERLINK("http://www.eatonpowersource.com/products/configure/motors/details/104-1531-006","104-1531-006")</f>
        <v>104-1531-006</v>
      </c>
      <c r="B13257" s="8" t="s">
        <v>12823</v>
      </c>
    </row>
    <row r="13258" spans="1:2" x14ac:dyDescent="0.3">
      <c r="A13258" s="9" t="str">
        <f>HYPERLINK("http://www.eatonpowersource.com/products/configure/motors/details/104-1533-006","104-1533-006")</f>
        <v>104-1533-006</v>
      </c>
      <c r="B13258" s="10" t="s">
        <v>12824</v>
      </c>
    </row>
    <row r="13259" spans="1:2" x14ac:dyDescent="0.3">
      <c r="A13259" s="7" t="str">
        <f>HYPERLINK("http://www.eatonpowersource.com/products/configure/motors/details/104-1534-006","104-1534-006")</f>
        <v>104-1534-006</v>
      </c>
      <c r="B13259" s="8" t="s">
        <v>12825</v>
      </c>
    </row>
    <row r="13260" spans="1:2" x14ac:dyDescent="0.3">
      <c r="A13260" s="9" t="str">
        <f>HYPERLINK("http://www.eatonpowersource.com/products/configure/motors/details/104-1543-006","104-1543-006")</f>
        <v>104-1543-006</v>
      </c>
      <c r="B13260" s="10" t="s">
        <v>12826</v>
      </c>
    </row>
    <row r="13261" spans="1:2" x14ac:dyDescent="0.3">
      <c r="A13261" s="7" t="str">
        <f>HYPERLINK("http://www.eatonpowersource.com/products/configure/motors/details/104-1546-006","104-1546-006")</f>
        <v>104-1546-006</v>
      </c>
      <c r="B13261" s="8" t="s">
        <v>12827</v>
      </c>
    </row>
    <row r="13262" spans="1:2" x14ac:dyDescent="0.3">
      <c r="A13262" s="9" t="str">
        <f>HYPERLINK("http://www.eatonpowersource.com/products/configure/motors/details/104-1547-006","104-1547-006")</f>
        <v>104-1547-006</v>
      </c>
      <c r="B13262" s="10" t="s">
        <v>12828</v>
      </c>
    </row>
    <row r="13263" spans="1:2" x14ac:dyDescent="0.3">
      <c r="A13263" s="7" t="str">
        <f>HYPERLINK("http://www.eatonpowersource.com/products/configure/motors/details/104-1550-006","104-1550-006")</f>
        <v>104-1550-006</v>
      </c>
      <c r="B13263" s="8" t="s">
        <v>12829</v>
      </c>
    </row>
    <row r="13264" spans="1:2" x14ac:dyDescent="0.3">
      <c r="A13264" s="9" t="str">
        <f>HYPERLINK("http://www.eatonpowersource.com/products/configure/motors/details/104-1551-006","104-1551-006")</f>
        <v>104-1551-006</v>
      </c>
      <c r="B13264" s="10" t="s">
        <v>12830</v>
      </c>
    </row>
    <row r="13265" spans="1:2" x14ac:dyDescent="0.3">
      <c r="A13265" s="7" t="str">
        <f>HYPERLINK("http://www.eatonpowersource.com/products/configure/motors/details/104-1554-006","104-1554-006")</f>
        <v>104-1554-006</v>
      </c>
      <c r="B13265" s="8" t="s">
        <v>12831</v>
      </c>
    </row>
    <row r="13266" spans="1:2" x14ac:dyDescent="0.3">
      <c r="A13266" s="9" t="str">
        <f>HYPERLINK("http://www.eatonpowersource.com/products/configure/motors/details/104-1556-006","104-1556-006")</f>
        <v>104-1556-006</v>
      </c>
      <c r="B13266" s="10" t="s">
        <v>12832</v>
      </c>
    </row>
    <row r="13267" spans="1:2" x14ac:dyDescent="0.3">
      <c r="A13267" s="7" t="str">
        <f>HYPERLINK("http://www.eatonpowersource.com/products/configure/motors/details/104-1559-006","104-1559-006")</f>
        <v>104-1559-006</v>
      </c>
      <c r="B13267" s="8" t="s">
        <v>12833</v>
      </c>
    </row>
    <row r="13268" spans="1:2" x14ac:dyDescent="0.3">
      <c r="A13268" s="9" t="str">
        <f>HYPERLINK("http://www.eatonpowersource.com/products/configure/motors/details/104-1560-006","104-1560-006")</f>
        <v>104-1560-006</v>
      </c>
      <c r="B13268" s="10" t="s">
        <v>12834</v>
      </c>
    </row>
    <row r="13269" spans="1:2" x14ac:dyDescent="0.3">
      <c r="A13269" s="7" t="str">
        <f>HYPERLINK("http://www.eatonpowersource.com/products/configure/motors/details/104-1561-006","104-1561-006")</f>
        <v>104-1561-006</v>
      </c>
      <c r="B13269" s="8" t="s">
        <v>12835</v>
      </c>
    </row>
    <row r="13270" spans="1:2" x14ac:dyDescent="0.3">
      <c r="A13270" s="9" t="str">
        <f>HYPERLINK("http://www.eatonpowersource.com/products/configure/motors/details/104-1564-006","104-1564-006")</f>
        <v>104-1564-006</v>
      </c>
      <c r="B13270" s="10" t="s">
        <v>12836</v>
      </c>
    </row>
    <row r="13271" spans="1:2" x14ac:dyDescent="0.3">
      <c r="A13271" s="7" t="str">
        <f>HYPERLINK("http://www.eatonpowersource.com/products/configure/motors/details/104-1572-006","104-1572-006")</f>
        <v>104-1572-006</v>
      </c>
      <c r="B13271" s="8" t="s">
        <v>12837</v>
      </c>
    </row>
    <row r="13272" spans="1:2" x14ac:dyDescent="0.3">
      <c r="A13272" s="9" t="str">
        <f>HYPERLINK("http://www.eatonpowersource.com/products/configure/motors/details/104-1574-006","104-1574-006")</f>
        <v>104-1574-006</v>
      </c>
      <c r="B13272" s="10" t="s">
        <v>12838</v>
      </c>
    </row>
    <row r="13273" spans="1:2" x14ac:dyDescent="0.3">
      <c r="A13273" s="7" t="str">
        <f>HYPERLINK("http://www.eatonpowersource.com/products/configure/motors/details/104-1584-006","104-1584-006")</f>
        <v>104-1584-006</v>
      </c>
      <c r="B13273" s="8" t="s">
        <v>12839</v>
      </c>
    </row>
    <row r="13274" spans="1:2" x14ac:dyDescent="0.3">
      <c r="A13274" s="9" t="str">
        <f>HYPERLINK("http://www.eatonpowersource.com/products/configure/motors/details/104-1586-006","104-1586-006")</f>
        <v>104-1586-006</v>
      </c>
      <c r="B13274" s="10" t="s">
        <v>12840</v>
      </c>
    </row>
    <row r="13275" spans="1:2" x14ac:dyDescent="0.3">
      <c r="A13275" s="7" t="str">
        <f>HYPERLINK("http://www.eatonpowersource.com/products/configure/motors/details/104-1591-006","104-1591-006")</f>
        <v>104-1591-006</v>
      </c>
      <c r="B13275" s="8" t="s">
        <v>12841</v>
      </c>
    </row>
    <row r="13276" spans="1:2" x14ac:dyDescent="0.3">
      <c r="A13276" s="9" t="str">
        <f>HYPERLINK("http://www.eatonpowersource.com/products/configure/motors/details/104-1598-006","104-1598-006")</f>
        <v>104-1598-006</v>
      </c>
      <c r="B13276" s="10" t="s">
        <v>12842</v>
      </c>
    </row>
    <row r="13277" spans="1:2" x14ac:dyDescent="0.3">
      <c r="A13277" s="7" t="str">
        <f>HYPERLINK("http://www.eatonpowersource.com/products/configure/motors/details/104-1608-006","104-1608-006")</f>
        <v>104-1608-006</v>
      </c>
      <c r="B13277" s="8" t="s">
        <v>12843</v>
      </c>
    </row>
    <row r="13278" spans="1:2" x14ac:dyDescent="0.3">
      <c r="A13278" s="9" t="str">
        <f>HYPERLINK("http://www.eatonpowersource.com/products/configure/motors/details/104-1611-006","104-1611-006")</f>
        <v>104-1611-006</v>
      </c>
      <c r="B13278" s="10" t="s">
        <v>12844</v>
      </c>
    </row>
    <row r="13279" spans="1:2" x14ac:dyDescent="0.3">
      <c r="A13279" s="7" t="str">
        <f>HYPERLINK("http://www.eatonpowersource.com/products/configure/motors/details/104-1612-006","104-1612-006")</f>
        <v>104-1612-006</v>
      </c>
      <c r="B13279" s="8" t="s">
        <v>12845</v>
      </c>
    </row>
    <row r="13280" spans="1:2" x14ac:dyDescent="0.3">
      <c r="A13280" s="9" t="str">
        <f>HYPERLINK("http://www.eatonpowersource.com/products/configure/motors/details/104-1626-006","104-1626-006")</f>
        <v>104-1626-006</v>
      </c>
      <c r="B13280" s="10" t="s">
        <v>12846</v>
      </c>
    </row>
    <row r="13281" spans="1:2" x14ac:dyDescent="0.3">
      <c r="A13281" s="7" t="str">
        <f>HYPERLINK("http://www.eatonpowersource.com/products/configure/motors/details/104-1627-006","104-1627-006")</f>
        <v>104-1627-006</v>
      </c>
      <c r="B13281" s="8" t="s">
        <v>12847</v>
      </c>
    </row>
    <row r="13282" spans="1:2" x14ac:dyDescent="0.3">
      <c r="A13282" s="9" t="str">
        <f>HYPERLINK("http://www.eatonpowersource.com/products/configure/motors/details/104-1628-006","104-1628-006")</f>
        <v>104-1628-006</v>
      </c>
      <c r="B13282" s="10" t="s">
        <v>12848</v>
      </c>
    </row>
    <row r="13283" spans="1:2" x14ac:dyDescent="0.3">
      <c r="A13283" s="7" t="str">
        <f>HYPERLINK("http://www.eatonpowersource.com/products/configure/motors/details/104-1637-006","104-1637-006")</f>
        <v>104-1637-006</v>
      </c>
      <c r="B13283" s="8" t="s">
        <v>12849</v>
      </c>
    </row>
    <row r="13284" spans="1:2" x14ac:dyDescent="0.3">
      <c r="A13284" s="9" t="str">
        <f>HYPERLINK("http://www.eatonpowersource.com/products/configure/motors/details/104-1644-006","104-1644-006")</f>
        <v>104-1644-006</v>
      </c>
      <c r="B13284" s="10" t="s">
        <v>12850</v>
      </c>
    </row>
    <row r="13285" spans="1:2" x14ac:dyDescent="0.3">
      <c r="A13285" s="7" t="str">
        <f>HYPERLINK("http://www.eatonpowersource.com/products/configure/motors/details/104-1655-006","104-1655-006")</f>
        <v>104-1655-006</v>
      </c>
      <c r="B13285" s="8" t="s">
        <v>12851</v>
      </c>
    </row>
    <row r="13286" spans="1:2" x14ac:dyDescent="0.3">
      <c r="A13286" s="9" t="str">
        <f>HYPERLINK("http://www.eatonpowersource.com/products/configure/motors/details/104-1660-006","104-1660-006")</f>
        <v>104-1660-006</v>
      </c>
      <c r="B13286" s="10" t="s">
        <v>12852</v>
      </c>
    </row>
    <row r="13287" spans="1:2" x14ac:dyDescent="0.3">
      <c r="A13287" s="7" t="str">
        <f>HYPERLINK("http://www.eatonpowersource.com/products/configure/motors/details/104-1662-006","104-1662-006")</f>
        <v>104-1662-006</v>
      </c>
      <c r="B13287" s="8" t="s">
        <v>12853</v>
      </c>
    </row>
    <row r="13288" spans="1:2" x14ac:dyDescent="0.3">
      <c r="A13288" s="9" t="str">
        <f>HYPERLINK("http://www.eatonpowersource.com/products/configure/motors/details/104-1668-006","104-1668-006")</f>
        <v>104-1668-006</v>
      </c>
      <c r="B13288" s="10" t="s">
        <v>12854</v>
      </c>
    </row>
    <row r="13289" spans="1:2" x14ac:dyDescent="0.3">
      <c r="A13289" s="7" t="str">
        <f>HYPERLINK("http://www.eatonpowersource.com/products/configure/motors/details/104-1675-006","104-1675-006")</f>
        <v>104-1675-006</v>
      </c>
      <c r="B13289" s="8" t="s">
        <v>12855</v>
      </c>
    </row>
    <row r="13290" spans="1:2" x14ac:dyDescent="0.3">
      <c r="A13290" s="9" t="str">
        <f>HYPERLINK("http://www.eatonpowersource.com/products/configure/motors/details/104-1687-006","104-1687-006")</f>
        <v>104-1687-006</v>
      </c>
      <c r="B13290" s="10" t="s">
        <v>12856</v>
      </c>
    </row>
    <row r="13291" spans="1:2" x14ac:dyDescent="0.3">
      <c r="A13291" s="7" t="str">
        <f>HYPERLINK("http://www.eatonpowersource.com/products/configure/motors/details/104-1690-006","104-1690-006")</f>
        <v>104-1690-006</v>
      </c>
      <c r="B13291" s="8" t="s">
        <v>12857</v>
      </c>
    </row>
    <row r="13292" spans="1:2" x14ac:dyDescent="0.3">
      <c r="A13292" s="9" t="str">
        <f>HYPERLINK("http://www.eatonpowersource.com/products/configure/motors/details/104-1700-006","104-1700-006")</f>
        <v>104-1700-006</v>
      </c>
      <c r="B13292" s="10" t="s">
        <v>12858</v>
      </c>
    </row>
    <row r="13293" spans="1:2" x14ac:dyDescent="0.3">
      <c r="A13293" s="7" t="str">
        <f>HYPERLINK("http://www.eatonpowersource.com/products/configure/motors/details/104-1701-006","104-1701-006")</f>
        <v>104-1701-006</v>
      </c>
      <c r="B13293" s="8" t="s">
        <v>12859</v>
      </c>
    </row>
    <row r="13294" spans="1:2" x14ac:dyDescent="0.3">
      <c r="A13294" s="9" t="str">
        <f>HYPERLINK("http://www.eatonpowersource.com/products/configure/motors/details/104-1702-006","104-1702-006")</f>
        <v>104-1702-006</v>
      </c>
      <c r="B13294" s="10" t="s">
        <v>12860</v>
      </c>
    </row>
    <row r="13295" spans="1:2" x14ac:dyDescent="0.3">
      <c r="A13295" s="7" t="str">
        <f>HYPERLINK("http://www.eatonpowersource.com/products/configure/motors/details/104-1716-006","104-1716-006")</f>
        <v>104-1716-006</v>
      </c>
      <c r="B13295" s="8" t="s">
        <v>12861</v>
      </c>
    </row>
    <row r="13296" spans="1:2" x14ac:dyDescent="0.3">
      <c r="A13296" s="9" t="str">
        <f>HYPERLINK("http://www.eatonpowersource.com/products/configure/motors/details/104-1717-006","104-1717-006")</f>
        <v>104-1717-006</v>
      </c>
      <c r="B13296" s="10" t="s">
        <v>12862</v>
      </c>
    </row>
    <row r="13297" spans="1:2" x14ac:dyDescent="0.3">
      <c r="A13297" s="7" t="str">
        <f>HYPERLINK("http://www.eatonpowersource.com/products/configure/motors/details/104-1720-006","104-1720-006")</f>
        <v>104-1720-006</v>
      </c>
      <c r="B13297" s="8" t="s">
        <v>12863</v>
      </c>
    </row>
    <row r="13298" spans="1:2" x14ac:dyDescent="0.3">
      <c r="A13298" s="9" t="str">
        <f>HYPERLINK("http://www.eatonpowersource.com/products/configure/motors/details/104-1726-006","104-1726-006")</f>
        <v>104-1726-006</v>
      </c>
      <c r="B13298" s="10" t="s">
        <v>12864</v>
      </c>
    </row>
    <row r="13299" spans="1:2" x14ac:dyDescent="0.3">
      <c r="A13299" s="7" t="str">
        <f>HYPERLINK("http://www.eatonpowersource.com/products/configure/motors/details/104-1729-006","104-1729-006")</f>
        <v>104-1729-006</v>
      </c>
      <c r="B13299" s="8" t="s">
        <v>12865</v>
      </c>
    </row>
    <row r="13300" spans="1:2" x14ac:dyDescent="0.3">
      <c r="A13300" s="9" t="str">
        <f>HYPERLINK("http://www.eatonpowersource.com/products/configure/motors/details/104-1730-006","104-1730-006")</f>
        <v>104-1730-006</v>
      </c>
      <c r="B13300" s="10" t="s">
        <v>12866</v>
      </c>
    </row>
    <row r="13301" spans="1:2" x14ac:dyDescent="0.3">
      <c r="A13301" s="7" t="str">
        <f>HYPERLINK("http://www.eatonpowersource.com/products/configure/motors/details/104-1737-006","104-1737-006")</f>
        <v>104-1737-006</v>
      </c>
      <c r="B13301" s="8" t="s">
        <v>12867</v>
      </c>
    </row>
    <row r="13302" spans="1:2" x14ac:dyDescent="0.3">
      <c r="A13302" s="9" t="str">
        <f>HYPERLINK("http://www.eatonpowersource.com/products/configure/motors/details/104-1743-006","104-1743-006")</f>
        <v>104-1743-006</v>
      </c>
      <c r="B13302" s="10" t="s">
        <v>12868</v>
      </c>
    </row>
    <row r="13303" spans="1:2" x14ac:dyDescent="0.3">
      <c r="A13303" s="7" t="str">
        <f>HYPERLINK("http://www.eatonpowersource.com/products/configure/motors/details/104-1745-006","104-1745-006")</f>
        <v>104-1745-006</v>
      </c>
      <c r="B13303" s="8" t="s">
        <v>12869</v>
      </c>
    </row>
    <row r="13304" spans="1:2" x14ac:dyDescent="0.3">
      <c r="A13304" s="9" t="str">
        <f>HYPERLINK("http://www.eatonpowersource.com/products/configure/motors/details/104-1746-006","104-1746-006")</f>
        <v>104-1746-006</v>
      </c>
      <c r="B13304" s="10" t="s">
        <v>12870</v>
      </c>
    </row>
    <row r="13305" spans="1:2" x14ac:dyDescent="0.3">
      <c r="A13305" s="7" t="str">
        <f>HYPERLINK("http://www.eatonpowersource.com/products/configure/motors/details/104-1748-006","104-1748-006")</f>
        <v>104-1748-006</v>
      </c>
      <c r="B13305" s="8" t="s">
        <v>12871</v>
      </c>
    </row>
    <row r="13306" spans="1:2" x14ac:dyDescent="0.3">
      <c r="A13306" s="9" t="str">
        <f>HYPERLINK("http://www.eatonpowersource.com/products/configure/motors/details/104-1749-006","104-1749-006")</f>
        <v>104-1749-006</v>
      </c>
      <c r="B13306" s="10" t="s">
        <v>12872</v>
      </c>
    </row>
    <row r="13307" spans="1:2" x14ac:dyDescent="0.3">
      <c r="A13307" s="7" t="str">
        <f>HYPERLINK("http://www.eatonpowersource.com/products/configure/motors/details/104-1755-006","104-1755-006")</f>
        <v>104-1755-006</v>
      </c>
      <c r="B13307" s="8" t="s">
        <v>12873</v>
      </c>
    </row>
    <row r="13308" spans="1:2" x14ac:dyDescent="0.3">
      <c r="A13308" s="9" t="str">
        <f>HYPERLINK("http://www.eatonpowersource.com/products/configure/motors/details/104-1759-006","104-1759-006")</f>
        <v>104-1759-006</v>
      </c>
      <c r="B13308" s="10" t="s">
        <v>12874</v>
      </c>
    </row>
    <row r="13309" spans="1:2" x14ac:dyDescent="0.3">
      <c r="A13309" s="7" t="str">
        <f>HYPERLINK("http://www.eatonpowersource.com/products/configure/motors/details/104-1760-006","104-1760-006")</f>
        <v>104-1760-006</v>
      </c>
      <c r="B13309" s="8" t="s">
        <v>12875</v>
      </c>
    </row>
    <row r="13310" spans="1:2" x14ac:dyDescent="0.3">
      <c r="A13310" s="9" t="str">
        <f>HYPERLINK("http://www.eatonpowersource.com/products/configure/motors/details/104-1761-006","104-1761-006")</f>
        <v>104-1761-006</v>
      </c>
      <c r="B13310" s="10" t="s">
        <v>12876</v>
      </c>
    </row>
    <row r="13311" spans="1:2" x14ac:dyDescent="0.3">
      <c r="A13311" s="7" t="str">
        <f>HYPERLINK("http://www.eatonpowersource.com/products/configure/motors/details/104-1762-006","104-1762-006")</f>
        <v>104-1762-006</v>
      </c>
      <c r="B13311" s="8" t="s">
        <v>12877</v>
      </c>
    </row>
    <row r="13312" spans="1:2" x14ac:dyDescent="0.3">
      <c r="A13312" s="9" t="str">
        <f>HYPERLINK("http://www.eatonpowersource.com/products/configure/motors/details/104-1766-006","104-1766-006")</f>
        <v>104-1766-006</v>
      </c>
      <c r="B13312" s="10" t="s">
        <v>12878</v>
      </c>
    </row>
    <row r="13313" spans="1:2" x14ac:dyDescent="0.3">
      <c r="A13313" s="7" t="str">
        <f>HYPERLINK("http://www.eatonpowersource.com/products/configure/motors/details/104-1767-006","104-1767-006")</f>
        <v>104-1767-006</v>
      </c>
      <c r="B13313" s="8" t="s">
        <v>12879</v>
      </c>
    </row>
    <row r="13314" spans="1:2" x14ac:dyDescent="0.3">
      <c r="A13314" s="9" t="str">
        <f>HYPERLINK("http://www.eatonpowersource.com/products/configure/motors/details/104-1768-006","104-1768-006")</f>
        <v>104-1768-006</v>
      </c>
      <c r="B13314" s="10" t="s">
        <v>12880</v>
      </c>
    </row>
    <row r="13315" spans="1:2" x14ac:dyDescent="0.3">
      <c r="A13315" s="7" t="str">
        <f>HYPERLINK("http://www.eatonpowersource.com/products/configure/motors/details/104-1769-006","104-1769-006")</f>
        <v>104-1769-006</v>
      </c>
      <c r="B13315" s="8" t="s">
        <v>12881</v>
      </c>
    </row>
    <row r="13316" spans="1:2" x14ac:dyDescent="0.3">
      <c r="A13316" s="9" t="str">
        <f>HYPERLINK("http://www.eatonpowersource.com/products/configure/motors/details/104-1770-006","104-1770-006")</f>
        <v>104-1770-006</v>
      </c>
      <c r="B13316" s="10" t="s">
        <v>12882</v>
      </c>
    </row>
    <row r="13317" spans="1:2" x14ac:dyDescent="0.3">
      <c r="A13317" s="7" t="str">
        <f>HYPERLINK("http://www.eatonpowersource.com/products/configure/motors/details/104-1774-006","104-1774-006")</f>
        <v>104-1774-006</v>
      </c>
      <c r="B13317" s="8" t="s">
        <v>12883</v>
      </c>
    </row>
    <row r="13318" spans="1:2" x14ac:dyDescent="0.3">
      <c r="A13318" s="9" t="str">
        <f>HYPERLINK("http://www.eatonpowersource.com/products/configure/motors/details/104-1782-006","104-1782-006")</f>
        <v>104-1782-006</v>
      </c>
      <c r="B13318" s="10" t="s">
        <v>12884</v>
      </c>
    </row>
    <row r="13319" spans="1:2" x14ac:dyDescent="0.3">
      <c r="A13319" s="7" t="str">
        <f>HYPERLINK("http://www.eatonpowersource.com/products/configure/motors/details/104-1788-006","104-1788-006")</f>
        <v>104-1788-006</v>
      </c>
      <c r="B13319" s="8" t="s">
        <v>12885</v>
      </c>
    </row>
    <row r="13320" spans="1:2" x14ac:dyDescent="0.3">
      <c r="A13320" s="9" t="str">
        <f>HYPERLINK("http://www.eatonpowersource.com/products/configure/motors/details/104-1792-006","104-1792-006")</f>
        <v>104-1792-006</v>
      </c>
      <c r="B13320" s="10" t="s">
        <v>12886</v>
      </c>
    </row>
    <row r="13321" spans="1:2" x14ac:dyDescent="0.3">
      <c r="A13321" s="7" t="str">
        <f>HYPERLINK("http://www.eatonpowersource.com/products/configure/motors/details/104-1794-006","104-1794-006")</f>
        <v>104-1794-006</v>
      </c>
      <c r="B13321" s="8" t="s">
        <v>12887</v>
      </c>
    </row>
    <row r="13322" spans="1:2" x14ac:dyDescent="0.3">
      <c r="A13322" s="9" t="str">
        <f>HYPERLINK("http://www.eatonpowersource.com/products/configure/motors/details/104-1795-006","104-1795-006")</f>
        <v>104-1795-006</v>
      </c>
      <c r="B13322" s="10" t="s">
        <v>12888</v>
      </c>
    </row>
    <row r="13323" spans="1:2" x14ac:dyDescent="0.3">
      <c r="A13323" s="7" t="str">
        <f>HYPERLINK("http://www.eatonpowersource.com/products/configure/motors/details/104-1799-006","104-1799-006")</f>
        <v>104-1799-006</v>
      </c>
      <c r="B13323" s="8" t="s">
        <v>12889</v>
      </c>
    </row>
    <row r="13324" spans="1:2" x14ac:dyDescent="0.3">
      <c r="A13324" s="9" t="str">
        <f>HYPERLINK("http://www.eatonpowersource.com/products/configure/motors/details/104-1804-006","104-1804-006")</f>
        <v>104-1804-006</v>
      </c>
      <c r="B13324" s="10" t="s">
        <v>12890</v>
      </c>
    </row>
    <row r="13325" spans="1:2" x14ac:dyDescent="0.3">
      <c r="A13325" s="7" t="str">
        <f>HYPERLINK("http://www.eatonpowersource.com/products/configure/motors/details/104-1808-006","104-1808-006")</f>
        <v>104-1808-006</v>
      </c>
      <c r="B13325" s="8" t="s">
        <v>12891</v>
      </c>
    </row>
    <row r="13326" spans="1:2" x14ac:dyDescent="0.3">
      <c r="A13326" s="9" t="str">
        <f>HYPERLINK("http://www.eatonpowersource.com/products/configure/motors/details/104-1811-006","104-1811-006")</f>
        <v>104-1811-006</v>
      </c>
      <c r="B13326" s="10" t="s">
        <v>12892</v>
      </c>
    </row>
    <row r="13327" spans="1:2" x14ac:dyDescent="0.3">
      <c r="A13327" s="7" t="str">
        <f>HYPERLINK("http://www.eatonpowersource.com/products/configure/motors/details/104-1812-006","104-1812-006")</f>
        <v>104-1812-006</v>
      </c>
      <c r="B13327" s="8" t="s">
        <v>12893</v>
      </c>
    </row>
    <row r="13328" spans="1:2" x14ac:dyDescent="0.3">
      <c r="A13328" s="9" t="str">
        <f>HYPERLINK("http://www.eatonpowersource.com/products/configure/motors/details/104-1815-006","104-1815-006")</f>
        <v>104-1815-006</v>
      </c>
      <c r="B13328" s="10" t="s">
        <v>12894</v>
      </c>
    </row>
    <row r="13329" spans="1:2" x14ac:dyDescent="0.3">
      <c r="A13329" s="7" t="str">
        <f>HYPERLINK("http://www.eatonpowersource.com/products/configure/motors/details/104-1820-006","104-1820-006")</f>
        <v>104-1820-006</v>
      </c>
      <c r="B13329" s="8" t="s">
        <v>12895</v>
      </c>
    </row>
    <row r="13330" spans="1:2" x14ac:dyDescent="0.3">
      <c r="A13330" s="9" t="str">
        <f>HYPERLINK("http://www.eatonpowersource.com/products/configure/motors/details/104-1821-006","104-1821-006")</f>
        <v>104-1821-006</v>
      </c>
      <c r="B13330" s="10" t="s">
        <v>12896</v>
      </c>
    </row>
    <row r="13331" spans="1:2" x14ac:dyDescent="0.3">
      <c r="A13331" s="7" t="str">
        <f>HYPERLINK("http://www.eatonpowersource.com/products/configure/motors/details/104-1841-006","104-1841-006")</f>
        <v>104-1841-006</v>
      </c>
      <c r="B13331" s="8" t="s">
        <v>12897</v>
      </c>
    </row>
    <row r="13332" spans="1:2" x14ac:dyDescent="0.3">
      <c r="A13332" s="9" t="str">
        <f>HYPERLINK("http://www.eatonpowersource.com/products/configure/motors/details/104-1842-006","104-1842-006")</f>
        <v>104-1842-006</v>
      </c>
      <c r="B13332" s="10" t="s">
        <v>12898</v>
      </c>
    </row>
    <row r="13333" spans="1:2" x14ac:dyDescent="0.3">
      <c r="A13333" s="7" t="str">
        <f>HYPERLINK("http://www.eatonpowersource.com/products/configure/motors/details/104-1846-006","104-1846-006")</f>
        <v>104-1846-006</v>
      </c>
      <c r="B13333" s="8" t="s">
        <v>12899</v>
      </c>
    </row>
    <row r="13334" spans="1:2" x14ac:dyDescent="0.3">
      <c r="A13334" s="9" t="str">
        <f>HYPERLINK("http://www.eatonpowersource.com/products/configure/motors/details/104-1851-006","104-1851-006")</f>
        <v>104-1851-006</v>
      </c>
      <c r="B13334" s="10" t="s">
        <v>12900</v>
      </c>
    </row>
    <row r="13335" spans="1:2" x14ac:dyDescent="0.3">
      <c r="A13335" s="7" t="str">
        <f>HYPERLINK("http://www.eatonpowersource.com/products/configure/motors/details/104-1852-006","104-1852-006")</f>
        <v>104-1852-006</v>
      </c>
      <c r="B13335" s="8" t="s">
        <v>12901</v>
      </c>
    </row>
    <row r="13336" spans="1:2" x14ac:dyDescent="0.3">
      <c r="A13336" s="9" t="str">
        <f>HYPERLINK("http://www.eatonpowersource.com/products/configure/motors/details/104-1876-006","104-1876-006")</f>
        <v>104-1876-006</v>
      </c>
      <c r="B13336" s="10" t="s">
        <v>12902</v>
      </c>
    </row>
    <row r="13337" spans="1:2" x14ac:dyDescent="0.3">
      <c r="A13337" s="7" t="str">
        <f>HYPERLINK("http://www.eatonpowersource.com/products/configure/motors/details/104-1877-006","104-1877-006")</f>
        <v>104-1877-006</v>
      </c>
      <c r="B13337" s="8" t="s">
        <v>12903</v>
      </c>
    </row>
    <row r="13338" spans="1:2" x14ac:dyDescent="0.3">
      <c r="A13338" s="9" t="str">
        <f>HYPERLINK("http://www.eatonpowersource.com/products/configure/motors/details/104-1880-006","104-1880-006")</f>
        <v>104-1880-006</v>
      </c>
      <c r="B13338" s="10" t="s">
        <v>12904</v>
      </c>
    </row>
    <row r="13339" spans="1:2" x14ac:dyDescent="0.3">
      <c r="A13339" s="7" t="str">
        <f>HYPERLINK("http://www.eatonpowersource.com/products/configure/motors/details/104-1881-006","104-1881-006")</f>
        <v>104-1881-006</v>
      </c>
      <c r="B13339" s="8" t="s">
        <v>12905</v>
      </c>
    </row>
    <row r="13340" spans="1:2" x14ac:dyDescent="0.3">
      <c r="A13340" s="9" t="str">
        <f>HYPERLINK("http://www.eatonpowersource.com/products/configure/motors/details/104-1883-006","104-1883-006")</f>
        <v>104-1883-006</v>
      </c>
      <c r="B13340" s="10" t="s">
        <v>12906</v>
      </c>
    </row>
    <row r="13341" spans="1:2" x14ac:dyDescent="0.3">
      <c r="A13341" s="7" t="str">
        <f>HYPERLINK("http://www.eatonpowersource.com/products/configure/motors/details/104-1887-006","104-1887-006")</f>
        <v>104-1887-006</v>
      </c>
      <c r="B13341" s="8" t="s">
        <v>12907</v>
      </c>
    </row>
    <row r="13342" spans="1:2" x14ac:dyDescent="0.3">
      <c r="A13342" s="9" t="str">
        <f>HYPERLINK("http://www.eatonpowersource.com/products/configure/motors/details/104-1895-006","104-1895-006")</f>
        <v>104-1895-006</v>
      </c>
      <c r="B13342" s="10" t="s">
        <v>12908</v>
      </c>
    </row>
    <row r="13343" spans="1:2" x14ac:dyDescent="0.3">
      <c r="A13343" s="7" t="str">
        <f>HYPERLINK("http://www.eatonpowersource.com/products/configure/motors/details/104-1900-006","104-1900-006")</f>
        <v>104-1900-006</v>
      </c>
      <c r="B13343" s="8" t="s">
        <v>12909</v>
      </c>
    </row>
    <row r="13344" spans="1:2" x14ac:dyDescent="0.3">
      <c r="A13344" s="9" t="str">
        <f>HYPERLINK("http://www.eatonpowersource.com/products/configure/motors/details/104-1903-006","104-1903-006")</f>
        <v>104-1903-006</v>
      </c>
      <c r="B13344" s="10" t="s">
        <v>12910</v>
      </c>
    </row>
    <row r="13345" spans="1:2" x14ac:dyDescent="0.3">
      <c r="A13345" s="7" t="str">
        <f>HYPERLINK("http://www.eatonpowersource.com/products/configure/motors/details/104-1908-006","104-1908-006")</f>
        <v>104-1908-006</v>
      </c>
      <c r="B13345" s="8" t="s">
        <v>12911</v>
      </c>
    </row>
    <row r="13346" spans="1:2" x14ac:dyDescent="0.3">
      <c r="A13346" s="9" t="str">
        <f>HYPERLINK("http://www.eatonpowersource.com/products/configure/motors/details/104-1912-006","104-1912-006")</f>
        <v>104-1912-006</v>
      </c>
      <c r="B13346" s="10" t="s">
        <v>12912</v>
      </c>
    </row>
    <row r="13347" spans="1:2" x14ac:dyDescent="0.3">
      <c r="A13347" s="7" t="str">
        <f>HYPERLINK("http://www.eatonpowersource.com/products/configure/motors/details/104-1917-006","104-1917-006")</f>
        <v>104-1917-006</v>
      </c>
      <c r="B13347" s="8" t="s">
        <v>12913</v>
      </c>
    </row>
    <row r="13348" spans="1:2" x14ac:dyDescent="0.3">
      <c r="A13348" s="9" t="str">
        <f>HYPERLINK("http://www.eatonpowersource.com/products/configure/motors/details/104-1923-006","104-1923-006")</f>
        <v>104-1923-006</v>
      </c>
      <c r="B13348" s="10" t="s">
        <v>12914</v>
      </c>
    </row>
    <row r="13349" spans="1:2" x14ac:dyDescent="0.3">
      <c r="A13349" s="7" t="str">
        <f>HYPERLINK("http://www.eatonpowersource.com/products/configure/motors/details/104-1924-006","104-1924-006")</f>
        <v>104-1924-006</v>
      </c>
      <c r="B13349" s="8" t="s">
        <v>12915</v>
      </c>
    </row>
    <row r="13350" spans="1:2" x14ac:dyDescent="0.3">
      <c r="A13350" s="9" t="str">
        <f>HYPERLINK("http://www.eatonpowersource.com/products/configure/motors/details/104-1928-006","104-1928-006")</f>
        <v>104-1928-006</v>
      </c>
      <c r="B13350" s="10" t="s">
        <v>12916</v>
      </c>
    </row>
    <row r="13351" spans="1:2" x14ac:dyDescent="0.3">
      <c r="A13351" s="7" t="str">
        <f>HYPERLINK("http://www.eatonpowersource.com/products/configure/motors/details/104-1937-006","104-1937-006")</f>
        <v>104-1937-006</v>
      </c>
      <c r="B13351" s="8" t="s">
        <v>12917</v>
      </c>
    </row>
    <row r="13352" spans="1:2" x14ac:dyDescent="0.3">
      <c r="A13352" s="9" t="str">
        <f>HYPERLINK("http://www.eatonpowersource.com/products/configure/motors/details/104-1944-006","104-1944-006")</f>
        <v>104-1944-006</v>
      </c>
      <c r="B13352" s="10" t="s">
        <v>12918</v>
      </c>
    </row>
    <row r="13353" spans="1:2" x14ac:dyDescent="0.3">
      <c r="A13353" s="7" t="str">
        <f>HYPERLINK("http://www.eatonpowersource.com/products/configure/motors/details/104-1946-006","104-1946-006")</f>
        <v>104-1946-006</v>
      </c>
      <c r="B13353" s="8" t="s">
        <v>12919</v>
      </c>
    </row>
    <row r="13354" spans="1:2" x14ac:dyDescent="0.3">
      <c r="A13354" s="9" t="str">
        <f>HYPERLINK("http://www.eatonpowersource.com/products/configure/motors/details/104-1948-006","104-1948-006")</f>
        <v>104-1948-006</v>
      </c>
      <c r="B13354" s="10" t="s">
        <v>12920</v>
      </c>
    </row>
    <row r="13355" spans="1:2" x14ac:dyDescent="0.3">
      <c r="A13355" s="7" t="str">
        <f>HYPERLINK("http://www.eatonpowersource.com/products/configure/motors/details/104-1949-006","104-1949-006")</f>
        <v>104-1949-006</v>
      </c>
      <c r="B13355" s="8" t="s">
        <v>12921</v>
      </c>
    </row>
    <row r="13356" spans="1:2" x14ac:dyDescent="0.3">
      <c r="A13356" s="9" t="str">
        <f>HYPERLINK("http://www.eatonpowersource.com/products/configure/motors/details/104-1952-006","104-1952-006")</f>
        <v>104-1952-006</v>
      </c>
      <c r="B13356" s="10" t="s">
        <v>12922</v>
      </c>
    </row>
    <row r="13357" spans="1:2" x14ac:dyDescent="0.3">
      <c r="A13357" s="7" t="str">
        <f>HYPERLINK("http://www.eatonpowersource.com/products/configure/motors/details/104-1958-006","104-1958-006")</f>
        <v>104-1958-006</v>
      </c>
      <c r="B13357" s="8" t="s">
        <v>12923</v>
      </c>
    </row>
    <row r="13358" spans="1:2" x14ac:dyDescent="0.3">
      <c r="A13358" s="9" t="str">
        <f>HYPERLINK("http://www.eatonpowersource.com/products/configure/motors/details/104-1965-006","104-1965-006")</f>
        <v>104-1965-006</v>
      </c>
      <c r="B13358" s="10" t="s">
        <v>12924</v>
      </c>
    </row>
    <row r="13359" spans="1:2" x14ac:dyDescent="0.3">
      <c r="A13359" s="7" t="str">
        <f>HYPERLINK("http://www.eatonpowersource.com/products/configure/motors/details/104-1968-006","104-1968-006")</f>
        <v>104-1968-006</v>
      </c>
      <c r="B13359" s="8" t="s">
        <v>12925</v>
      </c>
    </row>
    <row r="13360" spans="1:2" x14ac:dyDescent="0.3">
      <c r="A13360" s="9" t="str">
        <f>HYPERLINK("http://www.eatonpowersource.com/products/configure/motors/details/104-1969-006","104-1969-006")</f>
        <v>104-1969-006</v>
      </c>
      <c r="B13360" s="10" t="s">
        <v>12926</v>
      </c>
    </row>
    <row r="13361" spans="1:2" x14ac:dyDescent="0.3">
      <c r="A13361" s="7" t="str">
        <f>HYPERLINK("http://www.eatonpowersource.com/products/configure/motors/details/104-1973-006","104-1973-006")</f>
        <v>104-1973-006</v>
      </c>
      <c r="B13361" s="8" t="s">
        <v>12927</v>
      </c>
    </row>
    <row r="13362" spans="1:2" x14ac:dyDescent="0.3">
      <c r="A13362" s="9" t="str">
        <f>HYPERLINK("http://www.eatonpowersource.com/products/configure/motors/details/104-1979-006","104-1979-006")</f>
        <v>104-1979-006</v>
      </c>
      <c r="B13362" s="10" t="s">
        <v>12928</v>
      </c>
    </row>
    <row r="13363" spans="1:2" x14ac:dyDescent="0.3">
      <c r="A13363" s="7" t="str">
        <f>HYPERLINK("http://www.eatonpowersource.com/products/configure/motors/details/104-1981-006","104-1981-006")</f>
        <v>104-1981-006</v>
      </c>
      <c r="B13363" s="8" t="s">
        <v>12929</v>
      </c>
    </row>
    <row r="13364" spans="1:2" x14ac:dyDescent="0.3">
      <c r="A13364" s="9" t="str">
        <f>HYPERLINK("http://www.eatonpowersource.com/products/configure/motors/details/104-1989-006","104-1989-006")</f>
        <v>104-1989-006</v>
      </c>
      <c r="B13364" s="10" t="s">
        <v>12930</v>
      </c>
    </row>
    <row r="13365" spans="1:2" x14ac:dyDescent="0.3">
      <c r="A13365" s="7" t="str">
        <f>HYPERLINK("http://www.eatonpowersource.com/products/configure/motors/details/104-1992-006","104-1992-006")</f>
        <v>104-1992-006</v>
      </c>
      <c r="B13365" s="8" t="s">
        <v>12931</v>
      </c>
    </row>
    <row r="13366" spans="1:2" x14ac:dyDescent="0.3">
      <c r="A13366" s="9" t="str">
        <f>HYPERLINK("http://www.eatonpowersource.com/products/configure/motors/details/104-1995-006","104-1995-006")</f>
        <v>104-1995-006</v>
      </c>
      <c r="B13366" s="10" t="s">
        <v>12932</v>
      </c>
    </row>
    <row r="13367" spans="1:2" x14ac:dyDescent="0.3">
      <c r="A13367" s="7" t="str">
        <f>HYPERLINK("http://www.eatonpowersource.com/products/configure/motors/details/104-1998-006","104-1998-006")</f>
        <v>104-1998-006</v>
      </c>
      <c r="B13367" s="8" t="s">
        <v>12933</v>
      </c>
    </row>
    <row r="13368" spans="1:2" x14ac:dyDescent="0.3">
      <c r="A13368" s="9" t="str">
        <f>HYPERLINK("http://www.eatonpowersource.com/products/configure/motors/details/104-3005-006","104-3005-006")</f>
        <v>104-3005-006</v>
      </c>
      <c r="B13368" s="10" t="s">
        <v>12934</v>
      </c>
    </row>
    <row r="13369" spans="1:2" x14ac:dyDescent="0.3">
      <c r="A13369" s="7" t="str">
        <f>HYPERLINK("http://www.eatonpowersource.com/products/configure/motors/details/104-3006-006","104-3006-006")</f>
        <v>104-3006-006</v>
      </c>
      <c r="B13369" s="8" t="s">
        <v>12935</v>
      </c>
    </row>
    <row r="13370" spans="1:2" x14ac:dyDescent="0.3">
      <c r="A13370" s="9" t="str">
        <f>HYPERLINK("http://www.eatonpowersource.com/products/configure/motors/details/104-3008-006","104-3008-006")</f>
        <v>104-3008-006</v>
      </c>
      <c r="B13370" s="10" t="s">
        <v>12936</v>
      </c>
    </row>
    <row r="13371" spans="1:2" x14ac:dyDescent="0.3">
      <c r="A13371" s="7" t="str">
        <f>HYPERLINK("http://www.eatonpowersource.com/products/configure/motors/details/104-3010-006","104-3010-006")</f>
        <v>104-3010-006</v>
      </c>
      <c r="B13371" s="8" t="s">
        <v>12937</v>
      </c>
    </row>
    <row r="13372" spans="1:2" x14ac:dyDescent="0.3">
      <c r="A13372" s="9" t="str">
        <f>HYPERLINK("http://www.eatonpowersource.com/products/configure/motors/details/104-3022-006","104-3022-006")</f>
        <v>104-3022-006</v>
      </c>
      <c r="B13372" s="10" t="s">
        <v>12938</v>
      </c>
    </row>
    <row r="13373" spans="1:2" x14ac:dyDescent="0.3">
      <c r="A13373" s="7" t="str">
        <f>HYPERLINK("http://www.eatonpowersource.com/products/configure/motors/details/104-3028-006","104-3028-006")</f>
        <v>104-3028-006</v>
      </c>
      <c r="B13373" s="8" t="s">
        <v>12939</v>
      </c>
    </row>
    <row r="13374" spans="1:2" x14ac:dyDescent="0.3">
      <c r="A13374" s="9" t="str">
        <f>HYPERLINK("http://www.eatonpowersource.com/products/configure/motors/details/104-3035-006","104-3035-006")</f>
        <v>104-3035-006</v>
      </c>
      <c r="B13374" s="10" t="s">
        <v>12940</v>
      </c>
    </row>
    <row r="13375" spans="1:2" x14ac:dyDescent="0.3">
      <c r="A13375" s="7" t="str">
        <f>HYPERLINK("http://www.eatonpowersource.com/products/configure/motors/details/104-3039-006","104-3039-006")</f>
        <v>104-3039-006</v>
      </c>
      <c r="B13375" s="8" t="s">
        <v>12941</v>
      </c>
    </row>
    <row r="13376" spans="1:2" x14ac:dyDescent="0.3">
      <c r="A13376" s="9" t="str">
        <f>HYPERLINK("http://www.eatonpowersource.com/products/configure/motors/details/104-3040-006","104-3040-006")</f>
        <v>104-3040-006</v>
      </c>
      <c r="B13376" s="10" t="s">
        <v>12942</v>
      </c>
    </row>
    <row r="13377" spans="1:2" x14ac:dyDescent="0.3">
      <c r="A13377" s="7" t="str">
        <f>HYPERLINK("http://www.eatonpowersource.com/products/configure/motors/details/104-3041-006","104-3041-006")</f>
        <v>104-3041-006</v>
      </c>
      <c r="B13377" s="8" t="s">
        <v>12943</v>
      </c>
    </row>
    <row r="13378" spans="1:2" x14ac:dyDescent="0.3">
      <c r="A13378" s="9" t="str">
        <f>HYPERLINK("http://www.eatonpowersource.com/products/configure/motors/details/104-3042-006","104-3042-006")</f>
        <v>104-3042-006</v>
      </c>
      <c r="B13378" s="10" t="s">
        <v>12944</v>
      </c>
    </row>
    <row r="13379" spans="1:2" x14ac:dyDescent="0.3">
      <c r="A13379" s="7" t="str">
        <f>HYPERLINK("http://www.eatonpowersource.com/products/configure/motors/details/104-3043-006","104-3043-006")</f>
        <v>104-3043-006</v>
      </c>
      <c r="B13379" s="8" t="s">
        <v>12945</v>
      </c>
    </row>
    <row r="13380" spans="1:2" x14ac:dyDescent="0.3">
      <c r="A13380" s="9" t="str">
        <f>HYPERLINK("http://www.eatonpowersource.com/products/configure/motors/details/104-3044-006","104-3044-006")</f>
        <v>104-3044-006</v>
      </c>
      <c r="B13380" s="10" t="s">
        <v>12946</v>
      </c>
    </row>
    <row r="13381" spans="1:2" x14ac:dyDescent="0.3">
      <c r="A13381" s="7" t="str">
        <f>HYPERLINK("http://www.eatonpowersource.com/products/configure/motors/details/104-3045-006","104-3045-006")</f>
        <v>104-3045-006</v>
      </c>
      <c r="B13381" s="8" t="s">
        <v>12947</v>
      </c>
    </row>
    <row r="13382" spans="1:2" x14ac:dyDescent="0.3">
      <c r="A13382" s="9" t="str">
        <f>HYPERLINK("http://www.eatonpowersource.com/products/configure/motors/details/104-3046-006","104-3046-006")</f>
        <v>104-3046-006</v>
      </c>
      <c r="B13382" s="10" t="s">
        <v>12948</v>
      </c>
    </row>
    <row r="13383" spans="1:2" x14ac:dyDescent="0.3">
      <c r="A13383" s="7" t="str">
        <f>HYPERLINK("http://www.eatonpowersource.com/products/configure/motors/details/104-3051-006","104-3051-006")</f>
        <v>104-3051-006</v>
      </c>
      <c r="B13383" s="8" t="s">
        <v>12949</v>
      </c>
    </row>
    <row r="13384" spans="1:2" x14ac:dyDescent="0.3">
      <c r="A13384" s="9" t="str">
        <f>HYPERLINK("http://www.eatonpowersource.com/products/configure/motors/details/104-3052-006","104-3052-006")</f>
        <v>104-3052-006</v>
      </c>
      <c r="B13384" s="10" t="s">
        <v>12950</v>
      </c>
    </row>
    <row r="13385" spans="1:2" x14ac:dyDescent="0.3">
      <c r="A13385" s="7" t="str">
        <f>HYPERLINK("http://www.eatonpowersource.com/products/configure/motors/details/104-3053-006","104-3053-006")</f>
        <v>104-3053-006</v>
      </c>
      <c r="B13385" s="8" t="s">
        <v>12951</v>
      </c>
    </row>
    <row r="13386" spans="1:2" x14ac:dyDescent="0.3">
      <c r="A13386" s="9" t="str">
        <f>HYPERLINK("http://www.eatonpowersource.com/products/configure/motors/details/104-3054-006","104-3054-006")</f>
        <v>104-3054-006</v>
      </c>
      <c r="B13386" s="10" t="s">
        <v>12952</v>
      </c>
    </row>
    <row r="13387" spans="1:2" x14ac:dyDescent="0.3">
      <c r="A13387" s="7" t="str">
        <f>HYPERLINK("http://www.eatonpowersource.com/products/configure/motors/details/104-3055-006","104-3055-006")</f>
        <v>104-3055-006</v>
      </c>
      <c r="B13387" s="8" t="s">
        <v>12953</v>
      </c>
    </row>
    <row r="13388" spans="1:2" x14ac:dyDescent="0.3">
      <c r="A13388" s="9" t="str">
        <f>HYPERLINK("http://www.eatonpowersource.com/products/configure/motors/details/104-3056-006","104-3056-006")</f>
        <v>104-3056-006</v>
      </c>
      <c r="B13388" s="10" t="s">
        <v>12954</v>
      </c>
    </row>
    <row r="13389" spans="1:2" x14ac:dyDescent="0.3">
      <c r="A13389" s="7" t="str">
        <f>HYPERLINK("http://www.eatonpowersource.com/products/configure/motors/details/104-3057-006","104-3057-006")</f>
        <v>104-3057-006</v>
      </c>
      <c r="B13389" s="8" t="s">
        <v>12955</v>
      </c>
    </row>
    <row r="13390" spans="1:2" x14ac:dyDescent="0.3">
      <c r="A13390" s="9" t="str">
        <f>HYPERLINK("http://www.eatonpowersource.com/products/configure/motors/details/104-3058-006","104-3058-006")</f>
        <v>104-3058-006</v>
      </c>
      <c r="B13390" s="10" t="s">
        <v>12956</v>
      </c>
    </row>
    <row r="13391" spans="1:2" x14ac:dyDescent="0.3">
      <c r="A13391" s="7" t="str">
        <f>HYPERLINK("http://www.eatonpowersource.com/products/configure/motors/details/104-3060-006","104-3060-006")</f>
        <v>104-3060-006</v>
      </c>
      <c r="B13391" s="8" t="s">
        <v>12957</v>
      </c>
    </row>
    <row r="13392" spans="1:2" x14ac:dyDescent="0.3">
      <c r="A13392" s="9" t="str">
        <f>HYPERLINK("http://www.eatonpowersource.com/products/configure/motors/details/104-3061-006","104-3061-006")</f>
        <v>104-3061-006</v>
      </c>
      <c r="B13392" s="10" t="s">
        <v>12958</v>
      </c>
    </row>
    <row r="13393" spans="1:2" x14ac:dyDescent="0.3">
      <c r="A13393" s="7" t="str">
        <f>HYPERLINK("http://www.eatonpowersource.com/products/configure/motors/details/104-3062-006","104-3062-006")</f>
        <v>104-3062-006</v>
      </c>
      <c r="B13393" s="8" t="s">
        <v>12959</v>
      </c>
    </row>
    <row r="13394" spans="1:2" x14ac:dyDescent="0.3">
      <c r="A13394" s="9" t="str">
        <f>HYPERLINK("http://www.eatonpowersource.com/products/configure/motors/details/104-3063-006","104-3063-006")</f>
        <v>104-3063-006</v>
      </c>
      <c r="B13394" s="10" t="s">
        <v>12960</v>
      </c>
    </row>
    <row r="13395" spans="1:2" x14ac:dyDescent="0.3">
      <c r="A13395" s="7" t="str">
        <f>HYPERLINK("http://www.eatonpowersource.com/products/configure/motors/details/104-3065-006","104-3065-006")</f>
        <v>104-3065-006</v>
      </c>
      <c r="B13395" s="8" t="s">
        <v>12961</v>
      </c>
    </row>
    <row r="13396" spans="1:2" x14ac:dyDescent="0.3">
      <c r="A13396" s="9" t="str">
        <f>HYPERLINK("http://www.eatonpowersource.com/products/configure/motors/details/104-3066-006","104-3066-006")</f>
        <v>104-3066-006</v>
      </c>
      <c r="B13396" s="10" t="s">
        <v>12962</v>
      </c>
    </row>
    <row r="13397" spans="1:2" x14ac:dyDescent="0.3">
      <c r="A13397" s="7" t="str">
        <f>HYPERLINK("http://www.eatonpowersource.com/products/configure/motors/details/104-3067-006","104-3067-006")</f>
        <v>104-3067-006</v>
      </c>
      <c r="B13397" s="8" t="s">
        <v>12963</v>
      </c>
    </row>
    <row r="13398" spans="1:2" x14ac:dyDescent="0.3">
      <c r="A13398" s="9" t="str">
        <f>HYPERLINK("http://www.eatonpowersource.com/products/configure/motors/details/104-3068-006","104-3068-006")</f>
        <v>104-3068-006</v>
      </c>
      <c r="B13398" s="10" t="s">
        <v>12964</v>
      </c>
    </row>
    <row r="13399" spans="1:2" x14ac:dyDescent="0.3">
      <c r="A13399" s="7" t="str">
        <f>HYPERLINK("http://www.eatonpowersource.com/products/configure/motors/details/104-3069-006","104-3069-006")</f>
        <v>104-3069-006</v>
      </c>
      <c r="B13399" s="8" t="s">
        <v>12965</v>
      </c>
    </row>
    <row r="13400" spans="1:2" x14ac:dyDescent="0.3">
      <c r="A13400" s="9" t="str">
        <f>HYPERLINK("http://www.eatonpowersource.com/products/configure/motors/details/104-3071-006","104-3071-006")</f>
        <v>104-3071-006</v>
      </c>
      <c r="B13400" s="10" t="s">
        <v>12966</v>
      </c>
    </row>
    <row r="13401" spans="1:2" x14ac:dyDescent="0.3">
      <c r="A13401" s="7" t="str">
        <f>HYPERLINK("http://www.eatonpowersource.com/products/configure/motors/details/104-3087-006","104-3087-006")</f>
        <v>104-3087-006</v>
      </c>
      <c r="B13401" s="8" t="s">
        <v>12967</v>
      </c>
    </row>
    <row r="13402" spans="1:2" x14ac:dyDescent="0.3">
      <c r="A13402" s="9" t="str">
        <f>HYPERLINK("http://www.eatonpowersource.com/products/configure/motors/details/104-3097-006","104-3097-006")</f>
        <v>104-3097-006</v>
      </c>
      <c r="B13402" s="10" t="s">
        <v>12968</v>
      </c>
    </row>
    <row r="13403" spans="1:2" x14ac:dyDescent="0.3">
      <c r="A13403" s="7" t="str">
        <f>HYPERLINK("http://www.eatonpowersource.com/products/configure/motors/details/104-3103-006","104-3103-006")</f>
        <v>104-3103-006</v>
      </c>
      <c r="B13403" s="8" t="s">
        <v>12969</v>
      </c>
    </row>
    <row r="13404" spans="1:2" x14ac:dyDescent="0.3">
      <c r="A13404" s="9" t="str">
        <f>HYPERLINK("http://www.eatonpowersource.com/products/configure/motors/details/104-3107-006","104-3107-006")</f>
        <v>104-3107-006</v>
      </c>
      <c r="B13404" s="10" t="s">
        <v>12970</v>
      </c>
    </row>
    <row r="13405" spans="1:2" x14ac:dyDescent="0.3">
      <c r="A13405" s="7" t="str">
        <f>HYPERLINK("http://www.eatonpowersource.com/products/configure/motors/details/104-3110-006","104-3110-006")</f>
        <v>104-3110-006</v>
      </c>
      <c r="B13405" s="8" t="s">
        <v>12971</v>
      </c>
    </row>
    <row r="13406" spans="1:2" x14ac:dyDescent="0.3">
      <c r="A13406" s="9" t="str">
        <f>HYPERLINK("http://www.eatonpowersource.com/products/configure/motors/details/104-3127-006","104-3127-006")</f>
        <v>104-3127-006</v>
      </c>
      <c r="B13406" s="10" t="s">
        <v>12972</v>
      </c>
    </row>
    <row r="13407" spans="1:2" x14ac:dyDescent="0.3">
      <c r="A13407" s="7" t="str">
        <f>HYPERLINK("http://www.eatonpowersource.com/products/configure/motors/details/104-3131-006","104-3131-006")</f>
        <v>104-3131-006</v>
      </c>
      <c r="B13407" s="8" t="s">
        <v>12973</v>
      </c>
    </row>
    <row r="13408" spans="1:2" x14ac:dyDescent="0.3">
      <c r="A13408" s="9" t="str">
        <f>HYPERLINK("http://www.eatonpowersource.com/products/configure/motors/details/104-3142-006","104-3142-006")</f>
        <v>104-3142-006</v>
      </c>
      <c r="B13408" s="10" t="s">
        <v>12974</v>
      </c>
    </row>
    <row r="13409" spans="1:2" x14ac:dyDescent="0.3">
      <c r="A13409" s="7" t="str">
        <f>HYPERLINK("http://www.eatonpowersource.com/products/configure/motors/details/104-3146-006","104-3146-006")</f>
        <v>104-3146-006</v>
      </c>
      <c r="B13409" s="8" t="s">
        <v>12975</v>
      </c>
    </row>
    <row r="13410" spans="1:2" x14ac:dyDescent="0.3">
      <c r="A13410" s="9" t="str">
        <f>HYPERLINK("http://www.eatonpowersource.com/products/configure/motors/details/104-3149-006","104-3149-006")</f>
        <v>104-3149-006</v>
      </c>
      <c r="B13410" s="10" t="s">
        <v>12976</v>
      </c>
    </row>
    <row r="13411" spans="1:2" x14ac:dyDescent="0.3">
      <c r="A13411" s="7" t="str">
        <f>HYPERLINK("http://www.eatonpowersource.com/products/configure/motors/details/104-3154-006","104-3154-006")</f>
        <v>104-3154-006</v>
      </c>
      <c r="B13411" s="8" t="s">
        <v>12977</v>
      </c>
    </row>
    <row r="13412" spans="1:2" x14ac:dyDescent="0.3">
      <c r="A13412" s="9" t="str">
        <f>HYPERLINK("http://www.eatonpowersource.com/products/configure/motors/details/104-3155-006","104-3155-006")</f>
        <v>104-3155-006</v>
      </c>
      <c r="B13412" s="10" t="s">
        <v>12978</v>
      </c>
    </row>
    <row r="13413" spans="1:2" x14ac:dyDescent="0.3">
      <c r="A13413" s="7" t="str">
        <f>HYPERLINK("http://www.eatonpowersource.com/products/configure/motors/details/104-3159-006","104-3159-006")</f>
        <v>104-3159-006</v>
      </c>
      <c r="B13413" s="8" t="s">
        <v>12979</v>
      </c>
    </row>
    <row r="13414" spans="1:2" x14ac:dyDescent="0.3">
      <c r="A13414" s="9" t="str">
        <f>HYPERLINK("http://www.eatonpowersource.com/products/configure/motors/details/104-3167-006","104-3167-006")</f>
        <v>104-3167-006</v>
      </c>
      <c r="B13414" s="10" t="s">
        <v>12980</v>
      </c>
    </row>
    <row r="13415" spans="1:2" x14ac:dyDescent="0.3">
      <c r="A13415" s="7" t="str">
        <f>HYPERLINK("http://www.eatonpowersource.com/products/configure/motors/details/104-3177-006","104-3177-006")</f>
        <v>104-3177-006</v>
      </c>
      <c r="B13415" s="8" t="s">
        <v>12981</v>
      </c>
    </row>
    <row r="13416" spans="1:2" x14ac:dyDescent="0.3">
      <c r="A13416" s="9" t="str">
        <f>HYPERLINK("http://www.eatonpowersource.com/products/configure/motors/details/104-3188-006","104-3188-006")</f>
        <v>104-3188-006</v>
      </c>
      <c r="B13416" s="10" t="s">
        <v>12982</v>
      </c>
    </row>
    <row r="13417" spans="1:2" x14ac:dyDescent="0.3">
      <c r="A13417" s="7" t="str">
        <f>HYPERLINK("http://www.eatonpowersource.com/products/configure/motors/details/104-3199-006","104-3199-006")</f>
        <v>104-3199-006</v>
      </c>
      <c r="B13417" s="8" t="s">
        <v>12983</v>
      </c>
    </row>
    <row r="13418" spans="1:2" x14ac:dyDescent="0.3">
      <c r="A13418" s="9" t="str">
        <f>HYPERLINK("http://www.eatonpowersource.com/products/configure/motors/details/104-3227-006","104-3227-006")</f>
        <v>104-3227-006</v>
      </c>
      <c r="B13418" s="10" t="s">
        <v>12984</v>
      </c>
    </row>
    <row r="13419" spans="1:2" x14ac:dyDescent="0.3">
      <c r="A13419" s="7" t="str">
        <f>HYPERLINK("http://www.eatonpowersource.com/products/configure/motors/details/104-3228-006","104-3228-006")</f>
        <v>104-3228-006</v>
      </c>
      <c r="B13419" s="8" t="s">
        <v>12985</v>
      </c>
    </row>
    <row r="13420" spans="1:2" x14ac:dyDescent="0.3">
      <c r="A13420" s="9" t="str">
        <f>HYPERLINK("http://www.eatonpowersource.com/products/configure/motors/details/104-3246-006","104-3246-006")</f>
        <v>104-3246-006</v>
      </c>
      <c r="B13420" s="10" t="s">
        <v>12986</v>
      </c>
    </row>
    <row r="13421" spans="1:2" x14ac:dyDescent="0.3">
      <c r="A13421" s="7" t="str">
        <f>HYPERLINK("http://www.eatonpowersource.com/products/configure/motors/details/104-3254-006","104-3254-006")</f>
        <v>104-3254-006</v>
      </c>
      <c r="B13421" s="8" t="s">
        <v>12987</v>
      </c>
    </row>
    <row r="13422" spans="1:2" x14ac:dyDescent="0.3">
      <c r="A13422" s="9" t="str">
        <f>HYPERLINK("http://www.eatonpowersource.com/products/configure/motors/details/104-3260-006","104-3260-006")</f>
        <v>104-3260-006</v>
      </c>
      <c r="B13422" s="10" t="s">
        <v>12988</v>
      </c>
    </row>
    <row r="13423" spans="1:2" x14ac:dyDescent="0.3">
      <c r="A13423" s="7" t="str">
        <f>HYPERLINK("http://www.eatonpowersource.com/products/configure/motors/details/104-3265-006","104-3265-006")</f>
        <v>104-3265-006</v>
      </c>
      <c r="B13423" s="8" t="s">
        <v>12989</v>
      </c>
    </row>
    <row r="13424" spans="1:2" x14ac:dyDescent="0.3">
      <c r="A13424" s="9" t="str">
        <f>HYPERLINK("http://www.eatonpowersource.com/products/configure/motors/details/104-3268-006","104-3268-006")</f>
        <v>104-3268-006</v>
      </c>
      <c r="B13424" s="10" t="s">
        <v>12990</v>
      </c>
    </row>
    <row r="13425" spans="1:2" x14ac:dyDescent="0.3">
      <c r="A13425" s="7" t="str">
        <f>HYPERLINK("http://www.eatonpowersource.com/products/configure/motors/details/104-3273-006","104-3273-006")</f>
        <v>104-3273-006</v>
      </c>
      <c r="B13425" s="8" t="s">
        <v>12991</v>
      </c>
    </row>
    <row r="13426" spans="1:2" x14ac:dyDescent="0.3">
      <c r="A13426" s="9" t="str">
        <f>HYPERLINK("http://www.eatonpowersource.com/products/configure/motors/details/104-3276-006","104-3276-006")</f>
        <v>104-3276-006</v>
      </c>
      <c r="B13426" s="10" t="s">
        <v>12992</v>
      </c>
    </row>
    <row r="13427" spans="1:2" x14ac:dyDescent="0.3">
      <c r="A13427" s="7" t="str">
        <f>HYPERLINK("http://www.eatonpowersource.com/products/configure/motors/details/104-3278-006","104-3278-006")</f>
        <v>104-3278-006</v>
      </c>
      <c r="B13427" s="8" t="s">
        <v>12993</v>
      </c>
    </row>
    <row r="13428" spans="1:2" x14ac:dyDescent="0.3">
      <c r="A13428" s="9" t="str">
        <f>HYPERLINK("http://www.eatonpowersource.com/products/configure/motors/details/104-3279-006","104-3279-006")</f>
        <v>104-3279-006</v>
      </c>
      <c r="B13428" s="10" t="s">
        <v>12994</v>
      </c>
    </row>
    <row r="13429" spans="1:2" x14ac:dyDescent="0.3">
      <c r="A13429" s="7" t="str">
        <f>HYPERLINK("http://www.eatonpowersource.com/products/configure/motors/details/104-3286-006","104-3286-006")</f>
        <v>104-3286-006</v>
      </c>
      <c r="B13429" s="8" t="s">
        <v>12995</v>
      </c>
    </row>
    <row r="13430" spans="1:2" x14ac:dyDescent="0.3">
      <c r="A13430" s="9" t="str">
        <f>HYPERLINK("http://www.eatonpowersource.com/products/configure/motors/details/104-3289-006","104-3289-006")</f>
        <v>104-3289-006</v>
      </c>
      <c r="B13430" s="10" t="s">
        <v>12996</v>
      </c>
    </row>
    <row r="13431" spans="1:2" x14ac:dyDescent="0.3">
      <c r="A13431" s="7" t="str">
        <f>HYPERLINK("http://www.eatonpowersource.com/products/configure/motors/details/104-3301-006","104-3301-006")</f>
        <v>104-3301-006</v>
      </c>
      <c r="B13431" s="8" t="s">
        <v>12997</v>
      </c>
    </row>
    <row r="13432" spans="1:2" x14ac:dyDescent="0.3">
      <c r="A13432" s="9" t="str">
        <f>HYPERLINK("http://www.eatonpowersource.com/products/configure/motors/details/104-3302-006","104-3302-006")</f>
        <v>104-3302-006</v>
      </c>
      <c r="B13432" s="10" t="s">
        <v>12998</v>
      </c>
    </row>
    <row r="13433" spans="1:2" x14ac:dyDescent="0.3">
      <c r="A13433" s="7" t="str">
        <f>HYPERLINK("http://www.eatonpowersource.com/products/configure/motors/details/104-3309-006","104-3309-006")</f>
        <v>104-3309-006</v>
      </c>
      <c r="B13433" s="8" t="s">
        <v>12999</v>
      </c>
    </row>
    <row r="13434" spans="1:2" x14ac:dyDescent="0.3">
      <c r="A13434" s="9" t="str">
        <f>HYPERLINK("http://www.eatonpowersource.com/products/configure/motors/details/104-3328-006","104-3328-006")</f>
        <v>104-3328-006</v>
      </c>
      <c r="B13434" s="10" t="s">
        <v>13000</v>
      </c>
    </row>
    <row r="13435" spans="1:2" x14ac:dyDescent="0.3">
      <c r="A13435" s="7" t="str">
        <f>HYPERLINK("http://www.eatonpowersource.com/products/configure/motors/details/104-3330-006","104-3330-006")</f>
        <v>104-3330-006</v>
      </c>
      <c r="B13435" s="8" t="s">
        <v>13001</v>
      </c>
    </row>
    <row r="13436" spans="1:2" x14ac:dyDescent="0.3">
      <c r="A13436" s="9" t="str">
        <f>HYPERLINK("http://www.eatonpowersource.com/products/configure/motors/details/104-3343-006","104-3343-006")</f>
        <v>104-3343-006</v>
      </c>
      <c r="B13436" s="10" t="s">
        <v>13002</v>
      </c>
    </row>
    <row r="13437" spans="1:2" x14ac:dyDescent="0.3">
      <c r="A13437" s="7" t="str">
        <f>HYPERLINK("http://www.eatonpowersource.com/products/configure/motors/details/104-3345-006","104-3345-006")</f>
        <v>104-3345-006</v>
      </c>
      <c r="B13437" s="8" t="s">
        <v>13003</v>
      </c>
    </row>
    <row r="13438" spans="1:2" x14ac:dyDescent="0.3">
      <c r="A13438" s="9" t="str">
        <f>HYPERLINK("http://www.eatonpowersource.com/products/configure/motors/details/104-3347-006","104-3347-006")</f>
        <v>104-3347-006</v>
      </c>
      <c r="B13438" s="10" t="s">
        <v>13004</v>
      </c>
    </row>
    <row r="13439" spans="1:2" x14ac:dyDescent="0.3">
      <c r="A13439" s="7" t="str">
        <f>HYPERLINK("http://www.eatonpowersource.com/products/configure/motors/details/104-3358-006","104-3358-006")</f>
        <v>104-3358-006</v>
      </c>
      <c r="B13439" s="8" t="s">
        <v>13005</v>
      </c>
    </row>
    <row r="13440" spans="1:2" x14ac:dyDescent="0.3">
      <c r="A13440" s="9" t="str">
        <f>HYPERLINK("http://www.eatonpowersource.com/products/configure/motors/details/104-3367-006","104-3367-006")</f>
        <v>104-3367-006</v>
      </c>
      <c r="B13440" s="10" t="s">
        <v>13006</v>
      </c>
    </row>
    <row r="13441" spans="1:2" x14ac:dyDescent="0.3">
      <c r="A13441" s="7" t="str">
        <f>HYPERLINK("http://www.eatonpowersource.com/products/configure/motors/details/104-3387-006","104-3387-006")</f>
        <v>104-3387-006</v>
      </c>
      <c r="B13441" s="8" t="s">
        <v>13007</v>
      </c>
    </row>
    <row r="13442" spans="1:2" x14ac:dyDescent="0.3">
      <c r="A13442" s="9" t="str">
        <f>HYPERLINK("http://www.eatonpowersource.com/products/configure/motors/details/104-3390-006","104-3390-006")</f>
        <v>104-3390-006</v>
      </c>
      <c r="B13442" s="10" t="s">
        <v>13008</v>
      </c>
    </row>
    <row r="13443" spans="1:2" x14ac:dyDescent="0.3">
      <c r="A13443" s="7" t="str">
        <f>HYPERLINK("http://www.eatonpowersource.com/products/configure/motors/details/104-3399-006","104-3399-006")</f>
        <v>104-3399-006</v>
      </c>
      <c r="B13443" s="8" t="s">
        <v>13009</v>
      </c>
    </row>
    <row r="13444" spans="1:2" x14ac:dyDescent="0.3">
      <c r="A13444" s="9" t="str">
        <f>HYPERLINK("http://www.eatonpowersource.com/products/configure/motors/details/104-3425-006","104-3425-006")</f>
        <v>104-3425-006</v>
      </c>
      <c r="B13444" s="10" t="s">
        <v>13010</v>
      </c>
    </row>
    <row r="13445" spans="1:2" x14ac:dyDescent="0.3">
      <c r="A13445" s="7" t="str">
        <f>HYPERLINK("http://www.eatonpowersource.com/products/configure/motors/details/104-3426-006","104-3426-006")</f>
        <v>104-3426-006</v>
      </c>
      <c r="B13445" s="8" t="s">
        <v>13011</v>
      </c>
    </row>
    <row r="13446" spans="1:2" x14ac:dyDescent="0.3">
      <c r="A13446" s="9" t="str">
        <f>HYPERLINK("http://www.eatonpowersource.com/products/configure/motors/details/104-3428-006","104-3428-006")</f>
        <v>104-3428-006</v>
      </c>
      <c r="B13446" s="10" t="s">
        <v>13012</v>
      </c>
    </row>
    <row r="13447" spans="1:2" x14ac:dyDescent="0.3">
      <c r="A13447" s="7" t="str">
        <f>HYPERLINK("http://www.eatonpowersource.com/products/configure/motors/details/104-3431-006","104-3431-006")</f>
        <v>104-3431-006</v>
      </c>
      <c r="B13447" s="8" t="s">
        <v>13013</v>
      </c>
    </row>
    <row r="13448" spans="1:2" x14ac:dyDescent="0.3">
      <c r="A13448" s="9" t="str">
        <f>HYPERLINK("http://www.eatonpowersource.com/products/configure/motors/details/104-3439-006","104-3439-006")</f>
        <v>104-3439-006</v>
      </c>
      <c r="B13448" s="10" t="s">
        <v>13014</v>
      </c>
    </row>
    <row r="13449" spans="1:2" x14ac:dyDescent="0.3">
      <c r="A13449" s="7" t="str">
        <f>HYPERLINK("http://www.eatonpowersource.com/products/configure/motors/details/104-3440-006","104-3440-006")</f>
        <v>104-3440-006</v>
      </c>
      <c r="B13449" s="8" t="s">
        <v>13015</v>
      </c>
    </row>
    <row r="13450" spans="1:2" x14ac:dyDescent="0.3">
      <c r="A13450" s="9" t="str">
        <f>HYPERLINK("http://www.eatonpowersource.com/products/configure/motors/details/104-3442-006","104-3442-006")</f>
        <v>104-3442-006</v>
      </c>
      <c r="B13450" s="10" t="s">
        <v>13016</v>
      </c>
    </row>
    <row r="13451" spans="1:2" x14ac:dyDescent="0.3">
      <c r="A13451" s="7" t="str">
        <f>HYPERLINK("http://www.eatonpowersource.com/products/configure/motors/details/104-3445-006","104-3445-006")</f>
        <v>104-3445-006</v>
      </c>
      <c r="B13451" s="8" t="s">
        <v>13017</v>
      </c>
    </row>
    <row r="13452" spans="1:2" x14ac:dyDescent="0.3">
      <c r="A13452" s="9" t="str">
        <f>HYPERLINK("http://www.eatonpowersource.com/products/configure/motors/details/104-3453-006","104-3453-006")</f>
        <v>104-3453-006</v>
      </c>
      <c r="B13452" s="10" t="s">
        <v>13018</v>
      </c>
    </row>
    <row r="13453" spans="1:2" x14ac:dyDescent="0.3">
      <c r="A13453" s="7" t="str">
        <f>HYPERLINK("http://www.eatonpowersource.com/products/configure/motors/details/104-3455-006","104-3455-006")</f>
        <v>104-3455-006</v>
      </c>
      <c r="B13453" s="8" t="s">
        <v>13019</v>
      </c>
    </row>
    <row r="13454" spans="1:2" x14ac:dyDescent="0.3">
      <c r="A13454" s="9" t="str">
        <f>HYPERLINK("http://www.eatonpowersource.com/products/configure/motors/details/104-3458-006","104-3458-006")</f>
        <v>104-3458-006</v>
      </c>
      <c r="B13454" s="10" t="s">
        <v>13020</v>
      </c>
    </row>
    <row r="13455" spans="1:2" x14ac:dyDescent="0.3">
      <c r="A13455" s="7" t="str">
        <f>HYPERLINK("http://www.eatonpowersource.com/products/configure/motors/details/104-3469-006","104-3469-006")</f>
        <v>104-3469-006</v>
      </c>
      <c r="B13455" s="8" t="s">
        <v>13021</v>
      </c>
    </row>
    <row r="13456" spans="1:2" x14ac:dyDescent="0.3">
      <c r="A13456" s="9" t="str">
        <f>HYPERLINK("http://www.eatonpowersource.com/products/configure/motors/details/104-3471-006","104-3471-006")</f>
        <v>104-3471-006</v>
      </c>
      <c r="B13456" s="10" t="s">
        <v>13022</v>
      </c>
    </row>
    <row r="13457" spans="1:2" x14ac:dyDescent="0.3">
      <c r="A13457" s="7" t="str">
        <f>HYPERLINK("http://www.eatonpowersource.com/products/configure/motors/details/104-3484-006","104-3484-006")</f>
        <v>104-3484-006</v>
      </c>
      <c r="B13457" s="8" t="s">
        <v>13023</v>
      </c>
    </row>
    <row r="13458" spans="1:2" x14ac:dyDescent="0.3">
      <c r="A13458" s="9" t="str">
        <f>HYPERLINK("http://www.eatonpowersource.com/products/configure/motors/details/104-3490-006","104-3490-006")</f>
        <v>104-3490-006</v>
      </c>
      <c r="B13458" s="10" t="s">
        <v>13024</v>
      </c>
    </row>
    <row r="13459" spans="1:2" x14ac:dyDescent="0.3">
      <c r="A13459" s="7" t="str">
        <f>HYPERLINK("http://www.eatonpowersource.com/products/configure/motors/details/104-3497-006","104-3497-006")</f>
        <v>104-3497-006</v>
      </c>
      <c r="B13459" s="8" t="s">
        <v>13025</v>
      </c>
    </row>
    <row r="13460" spans="1:2" x14ac:dyDescent="0.3">
      <c r="A13460" s="9" t="str">
        <f>HYPERLINK("http://www.eatonpowersource.com/products/configure/motors/details/104-3498-006","104-3498-006")</f>
        <v>104-3498-006</v>
      </c>
      <c r="B13460" s="10" t="s">
        <v>13026</v>
      </c>
    </row>
    <row r="13461" spans="1:2" x14ac:dyDescent="0.3">
      <c r="A13461" s="7" t="str">
        <f>HYPERLINK("http://www.eatonpowersource.com/products/configure/motors/details/104-3505-006","104-3505-006")</f>
        <v>104-3505-006</v>
      </c>
      <c r="B13461" s="8" t="s">
        <v>13027</v>
      </c>
    </row>
    <row r="13462" spans="1:2" x14ac:dyDescent="0.3">
      <c r="A13462" s="9" t="str">
        <f>HYPERLINK("http://www.eatonpowersource.com/products/configure/motors/details/104-3517-006","104-3517-006")</f>
        <v>104-3517-006</v>
      </c>
      <c r="B13462" s="10" t="s">
        <v>13028</v>
      </c>
    </row>
    <row r="13463" spans="1:2" x14ac:dyDescent="0.3">
      <c r="A13463" s="7" t="str">
        <f>HYPERLINK("http://www.eatonpowersource.com/products/configure/motors/details/104-3524-006","104-3524-006")</f>
        <v>104-3524-006</v>
      </c>
      <c r="B13463" s="8" t="s">
        <v>13029</v>
      </c>
    </row>
    <row r="13464" spans="1:2" x14ac:dyDescent="0.3">
      <c r="A13464" s="9" t="str">
        <f>HYPERLINK("http://www.eatonpowersource.com/products/configure/motors/details/104-3526-006","104-3526-006")</f>
        <v>104-3526-006</v>
      </c>
      <c r="B13464" s="10" t="s">
        <v>13030</v>
      </c>
    </row>
    <row r="13465" spans="1:2" x14ac:dyDescent="0.3">
      <c r="A13465" s="7" t="str">
        <f>HYPERLINK("http://www.eatonpowersource.com/products/configure/motors/details/104-3527-006","104-3527-006")</f>
        <v>104-3527-006</v>
      </c>
      <c r="B13465" s="8" t="s">
        <v>13031</v>
      </c>
    </row>
    <row r="13466" spans="1:2" x14ac:dyDescent="0.3">
      <c r="A13466" s="9" t="str">
        <f>HYPERLINK("http://www.eatonpowersource.com/products/configure/motors/details/104-3538-006","104-3538-006")</f>
        <v>104-3538-006</v>
      </c>
      <c r="B13466" s="10" t="s">
        <v>13032</v>
      </c>
    </row>
    <row r="13467" spans="1:2" x14ac:dyDescent="0.3">
      <c r="A13467" s="7" t="str">
        <f>HYPERLINK("http://www.eatonpowersource.com/products/configure/motors/details/104-3547-006","104-3547-006")</f>
        <v>104-3547-006</v>
      </c>
      <c r="B13467" s="8" t="s">
        <v>13033</v>
      </c>
    </row>
    <row r="13468" spans="1:2" x14ac:dyDescent="0.3">
      <c r="A13468" s="9" t="str">
        <f>HYPERLINK("http://www.eatonpowersource.com/products/configure/motors/details/104-3548-006","104-3548-006")</f>
        <v>104-3548-006</v>
      </c>
      <c r="B13468" s="10" t="s">
        <v>13034</v>
      </c>
    </row>
    <row r="13469" spans="1:2" x14ac:dyDescent="0.3">
      <c r="A13469" s="7" t="str">
        <f>HYPERLINK("http://www.eatonpowersource.com/products/configure/motors/details/104-3550-006","104-3550-006")</f>
        <v>104-3550-006</v>
      </c>
      <c r="B13469" s="8" t="s">
        <v>13035</v>
      </c>
    </row>
    <row r="13470" spans="1:2" x14ac:dyDescent="0.3">
      <c r="A13470" s="9" t="str">
        <f>HYPERLINK("http://www.eatonpowersource.com/products/configure/motors/details/104-3568-006","104-3568-006")</f>
        <v>104-3568-006</v>
      </c>
      <c r="B13470" s="10" t="s">
        <v>13036</v>
      </c>
    </row>
    <row r="13471" spans="1:2" x14ac:dyDescent="0.3">
      <c r="A13471" s="7" t="str">
        <f>HYPERLINK("http://www.eatonpowersource.com/products/configure/motors/details/104-3569-006","104-3569-006")</f>
        <v>104-3569-006</v>
      </c>
      <c r="B13471" s="8" t="s">
        <v>13037</v>
      </c>
    </row>
    <row r="13472" spans="1:2" x14ac:dyDescent="0.3">
      <c r="A13472" s="9" t="str">
        <f>HYPERLINK("http://www.eatonpowersource.com/products/configure/motors/details/104-3577-006","104-3577-006")</f>
        <v>104-3577-006</v>
      </c>
      <c r="B13472" s="10" t="s">
        <v>13038</v>
      </c>
    </row>
    <row r="13473" spans="1:2" x14ac:dyDescent="0.3">
      <c r="A13473" s="7" t="str">
        <f>HYPERLINK("http://www.eatonpowersource.com/products/configure/motors/details/104-3578-006","104-3578-006")</f>
        <v>104-3578-006</v>
      </c>
      <c r="B13473" s="8" t="s">
        <v>13039</v>
      </c>
    </row>
    <row r="13474" spans="1:2" x14ac:dyDescent="0.3">
      <c r="A13474" s="9" t="str">
        <f>HYPERLINK("http://www.eatonpowersource.com/products/configure/motors/details/104-3584-006","104-3584-006")</f>
        <v>104-3584-006</v>
      </c>
      <c r="B13474" s="10" t="s">
        <v>13040</v>
      </c>
    </row>
    <row r="13475" spans="1:2" x14ac:dyDescent="0.3">
      <c r="A13475" s="7" t="str">
        <f>HYPERLINK("http://www.eatonpowersource.com/products/configure/motors/details/104-3586-006","104-3586-006")</f>
        <v>104-3586-006</v>
      </c>
      <c r="B13475" s="8" t="s">
        <v>13041</v>
      </c>
    </row>
    <row r="13476" spans="1:2" x14ac:dyDescent="0.3">
      <c r="A13476" s="9" t="str">
        <f>HYPERLINK("http://www.eatonpowersource.com/products/configure/motors/details/104-3594-006","104-3594-006")</f>
        <v>104-3594-006</v>
      </c>
      <c r="B13476" s="10" t="s">
        <v>13042</v>
      </c>
    </row>
    <row r="13477" spans="1:2" x14ac:dyDescent="0.3">
      <c r="A13477" s="7" t="str">
        <f>HYPERLINK("http://www.eatonpowersource.com/products/configure/motors/details/104-3595-006","104-3595-006")</f>
        <v>104-3595-006</v>
      </c>
      <c r="B13477" s="8" t="s">
        <v>13043</v>
      </c>
    </row>
    <row r="13478" spans="1:2" x14ac:dyDescent="0.3">
      <c r="A13478" s="9" t="str">
        <f>HYPERLINK("http://www.eatonpowersource.com/products/configure/motors/details/104-3596-006","104-3596-006")</f>
        <v>104-3596-006</v>
      </c>
      <c r="B13478" s="10" t="s">
        <v>13044</v>
      </c>
    </row>
    <row r="13479" spans="1:2" x14ac:dyDescent="0.3">
      <c r="A13479" s="7" t="str">
        <f>HYPERLINK("http://www.eatonpowersource.com/products/configure/motors/details/104-3601-006","104-3601-006")</f>
        <v>104-3601-006</v>
      </c>
      <c r="B13479" s="8" t="s">
        <v>13045</v>
      </c>
    </row>
    <row r="13480" spans="1:2" x14ac:dyDescent="0.3">
      <c r="A13480" s="9" t="str">
        <f>HYPERLINK("http://www.eatonpowersource.com/products/configure/motors/details/104-3607-006","104-3607-006")</f>
        <v>104-3607-006</v>
      </c>
      <c r="B13480" s="10" t="s">
        <v>13046</v>
      </c>
    </row>
    <row r="13481" spans="1:2" x14ac:dyDescent="0.3">
      <c r="A13481" s="7" t="str">
        <f>HYPERLINK("http://www.eatonpowersource.com/products/configure/motors/details/104-3612-006","104-3612-006")</f>
        <v>104-3612-006</v>
      </c>
      <c r="B13481" s="8" t="s">
        <v>13047</v>
      </c>
    </row>
    <row r="13482" spans="1:2" x14ac:dyDescent="0.3">
      <c r="A13482" s="9" t="str">
        <f>HYPERLINK("http://www.eatonpowersource.com/products/configure/motors/details/104-3613-006","104-3613-006")</f>
        <v>104-3613-006</v>
      </c>
      <c r="B13482" s="10" t="s">
        <v>13048</v>
      </c>
    </row>
    <row r="13483" spans="1:2" x14ac:dyDescent="0.3">
      <c r="A13483" s="7" t="str">
        <f>HYPERLINK("http://www.eatonpowersource.com/products/configure/motors/details/104-3616-006","104-3616-006")</f>
        <v>104-3616-006</v>
      </c>
      <c r="B13483" s="8" t="s">
        <v>13049</v>
      </c>
    </row>
    <row r="13484" spans="1:2" x14ac:dyDescent="0.3">
      <c r="A13484" s="9" t="str">
        <f>HYPERLINK("http://www.eatonpowersource.com/products/configure/motors/details/104-3625-006","104-3625-006")</f>
        <v>104-3625-006</v>
      </c>
      <c r="B13484" s="10" t="s">
        <v>13050</v>
      </c>
    </row>
    <row r="13485" spans="1:2" x14ac:dyDescent="0.3">
      <c r="A13485" s="7" t="str">
        <f>HYPERLINK("http://www.eatonpowersource.com/products/configure/motors/details/104-3628-006","104-3628-006")</f>
        <v>104-3628-006</v>
      </c>
      <c r="B13485" s="8" t="s">
        <v>13051</v>
      </c>
    </row>
    <row r="13486" spans="1:2" x14ac:dyDescent="0.3">
      <c r="A13486" s="9" t="str">
        <f>HYPERLINK("http://www.eatonpowersource.com/products/configure/motors/details/104-3639-006","104-3639-006")</f>
        <v>104-3639-006</v>
      </c>
      <c r="B13486" s="10" t="s">
        <v>13052</v>
      </c>
    </row>
    <row r="13487" spans="1:2" x14ac:dyDescent="0.3">
      <c r="A13487" s="7" t="str">
        <f>HYPERLINK("http://www.eatonpowersource.com/products/configure/motors/details/104-3642-006","104-3642-006")</f>
        <v>104-3642-006</v>
      </c>
      <c r="B13487" s="8" t="s">
        <v>13053</v>
      </c>
    </row>
    <row r="13488" spans="1:2" x14ac:dyDescent="0.3">
      <c r="A13488" s="9" t="str">
        <f>HYPERLINK("http://www.eatonpowersource.com/products/configure/motors/details/104-3645-006","104-3645-006")</f>
        <v>104-3645-006</v>
      </c>
      <c r="B13488" s="10" t="s">
        <v>13054</v>
      </c>
    </row>
    <row r="13489" spans="1:2" x14ac:dyDescent="0.3">
      <c r="A13489" s="7" t="str">
        <f>HYPERLINK("http://www.eatonpowersource.com/products/configure/motors/details/104-3650-006","104-3650-006")</f>
        <v>104-3650-006</v>
      </c>
      <c r="B13489" s="8" t="s">
        <v>13055</v>
      </c>
    </row>
    <row r="13490" spans="1:2" x14ac:dyDescent="0.3">
      <c r="A13490" s="9" t="str">
        <f>HYPERLINK("http://www.eatonpowersource.com/products/configure/motors/details/104-3662-006","104-3662-006")</f>
        <v>104-3662-006</v>
      </c>
      <c r="B13490" s="10" t="s">
        <v>13056</v>
      </c>
    </row>
    <row r="13491" spans="1:2" x14ac:dyDescent="0.3">
      <c r="A13491" s="7" t="str">
        <f>HYPERLINK("http://www.eatonpowersource.com/products/configure/motors/details/104-3663-006","104-3663-006")</f>
        <v>104-3663-006</v>
      </c>
      <c r="B13491" s="8" t="s">
        <v>13057</v>
      </c>
    </row>
    <row r="13492" spans="1:2" x14ac:dyDescent="0.3">
      <c r="A13492" s="9" t="str">
        <f>HYPERLINK("http://www.eatonpowersource.com/products/configure/motors/details/104-3666-006","104-3666-006")</f>
        <v>104-3666-006</v>
      </c>
      <c r="B13492" s="10" t="s">
        <v>13058</v>
      </c>
    </row>
    <row r="13493" spans="1:2" x14ac:dyDescent="0.3">
      <c r="A13493" s="7" t="str">
        <f>HYPERLINK("http://www.eatonpowersource.com/products/configure/motors/details/104-3668-006","104-3668-006")</f>
        <v>104-3668-006</v>
      </c>
      <c r="B13493" s="8" t="s">
        <v>13059</v>
      </c>
    </row>
    <row r="13494" spans="1:2" x14ac:dyDescent="0.3">
      <c r="A13494" s="9" t="str">
        <f>HYPERLINK("http://www.eatonpowersource.com/products/configure/motors/details/104-3699-006","104-3699-006")</f>
        <v>104-3699-006</v>
      </c>
      <c r="B13494" s="10" t="s">
        <v>13060</v>
      </c>
    </row>
    <row r="13495" spans="1:2" x14ac:dyDescent="0.3">
      <c r="A13495" s="7" t="str">
        <f>HYPERLINK("http://www.eatonpowersource.com/products/configure/motors/details/104-3706-006","104-3706-006")</f>
        <v>104-3706-006</v>
      </c>
      <c r="B13495" s="8" t="s">
        <v>13061</v>
      </c>
    </row>
    <row r="13496" spans="1:2" x14ac:dyDescent="0.3">
      <c r="A13496" s="9" t="str">
        <f>HYPERLINK("http://www.eatonpowersource.com/products/configure/motors/details/104-3708-006","104-3708-006")</f>
        <v>104-3708-006</v>
      </c>
      <c r="B13496" s="10" t="s">
        <v>13062</v>
      </c>
    </row>
    <row r="13497" spans="1:2" x14ac:dyDescent="0.3">
      <c r="A13497" s="7" t="str">
        <f>HYPERLINK("http://www.eatonpowersource.com/products/configure/motors/details/104-3721-006","104-3721-006")</f>
        <v>104-3721-006</v>
      </c>
      <c r="B13497" s="8" t="s">
        <v>13063</v>
      </c>
    </row>
    <row r="13498" spans="1:2" x14ac:dyDescent="0.3">
      <c r="A13498" s="9" t="str">
        <f>HYPERLINK("http://www.eatonpowersource.com/products/configure/motors/details/104-3726-006","104-3726-006")</f>
        <v>104-3726-006</v>
      </c>
      <c r="B13498" s="10" t="s">
        <v>13064</v>
      </c>
    </row>
    <row r="13499" spans="1:2" x14ac:dyDescent="0.3">
      <c r="A13499" s="7" t="str">
        <f>HYPERLINK("http://www.eatonpowersource.com/products/configure/motors/details/104-3742-006","104-3742-006")</f>
        <v>104-3742-006</v>
      </c>
      <c r="B13499" s="8" t="s">
        <v>13065</v>
      </c>
    </row>
    <row r="13500" spans="1:2" x14ac:dyDescent="0.3">
      <c r="A13500" s="9" t="str">
        <f>HYPERLINK("http://www.eatonpowersource.com/products/configure/motors/details/104-3743-006","104-3743-006")</f>
        <v>104-3743-006</v>
      </c>
      <c r="B13500" s="10" t="s">
        <v>13066</v>
      </c>
    </row>
    <row r="13501" spans="1:2" x14ac:dyDescent="0.3">
      <c r="A13501" s="7" t="str">
        <f>HYPERLINK("http://www.eatonpowersource.com/products/configure/motors/details/104-3767-006","104-3767-006")</f>
        <v>104-3767-006</v>
      </c>
      <c r="B13501" s="8" t="s">
        <v>13067</v>
      </c>
    </row>
    <row r="13502" spans="1:2" x14ac:dyDescent="0.3">
      <c r="A13502" s="9" t="str">
        <f>HYPERLINK("http://www.eatonpowersource.com/products/configure/motors/details/104-3806-006","104-3806-006")</f>
        <v>104-3806-006</v>
      </c>
      <c r="B13502" s="10" t="s">
        <v>13068</v>
      </c>
    </row>
    <row r="13503" spans="1:2" x14ac:dyDescent="0.3">
      <c r="A13503" s="7" t="str">
        <f>HYPERLINK("http://www.eatonpowersource.com/products/configure/motors/details/104-3809-006","104-3809-006")</f>
        <v>104-3809-006</v>
      </c>
      <c r="B13503" s="8" t="s">
        <v>13069</v>
      </c>
    </row>
    <row r="13504" spans="1:2" x14ac:dyDescent="0.3">
      <c r="A13504" s="9" t="str">
        <f>HYPERLINK("http://www.eatonpowersource.com/products/configure/motors/details/104-3815-006","104-3815-006")</f>
        <v>104-3815-006</v>
      </c>
      <c r="B13504" s="10" t="s">
        <v>13070</v>
      </c>
    </row>
    <row r="13505" spans="1:2" x14ac:dyDescent="0.3">
      <c r="A13505" s="7" t="str">
        <f>HYPERLINK("http://www.eatonpowersource.com/products/configure/motors/details/104-3816-006","104-3816-006")</f>
        <v>104-3816-006</v>
      </c>
      <c r="B13505" s="8" t="s">
        <v>13071</v>
      </c>
    </row>
    <row r="13506" spans="1:2" x14ac:dyDescent="0.3">
      <c r="A13506" s="9" t="str">
        <f>HYPERLINK("http://www.eatonpowersource.com/products/configure/motors/details/104-3845-006","104-3845-006")</f>
        <v>104-3845-006</v>
      </c>
      <c r="B13506" s="10" t="s">
        <v>13072</v>
      </c>
    </row>
    <row r="13507" spans="1:2" x14ac:dyDescent="0.3">
      <c r="A13507" s="7" t="str">
        <f>HYPERLINK("http://www.eatonpowersource.com/products/configure/motors/details/104-3848-006","104-3848-006")</f>
        <v>104-3848-006</v>
      </c>
      <c r="B13507" s="8" t="s">
        <v>13073</v>
      </c>
    </row>
    <row r="13508" spans="1:2" x14ac:dyDescent="0.3">
      <c r="A13508" s="9" t="str">
        <f>HYPERLINK("http://www.eatonpowersource.com/products/configure/motors/details/104-3902-006","104-3902-006")</f>
        <v>104-3902-006</v>
      </c>
      <c r="B13508" s="10" t="s">
        <v>13074</v>
      </c>
    </row>
    <row r="13509" spans="1:2" x14ac:dyDescent="0.3">
      <c r="A13509" s="7" t="str">
        <f>HYPERLINK("http://www.eatonpowersource.com/products/configure/motors/details/104-3903-006","104-3903-006")</f>
        <v>104-3903-006</v>
      </c>
      <c r="B13509" s="8" t="s">
        <v>13075</v>
      </c>
    </row>
    <row r="13510" spans="1:2" x14ac:dyDescent="0.3">
      <c r="A13510" s="9" t="str">
        <f>HYPERLINK("http://www.eatonpowersource.com/products/configure/motors/details/104-3904-006","104-3904-006")</f>
        <v>104-3904-006</v>
      </c>
      <c r="B13510" s="10" t="s">
        <v>13076</v>
      </c>
    </row>
    <row r="13511" spans="1:2" x14ac:dyDescent="0.3">
      <c r="A13511" s="7" t="str">
        <f>HYPERLINK("http://www.eatonpowersource.com/products/configure/motors/details/104-3922-006","104-3922-006")</f>
        <v>104-3922-006</v>
      </c>
      <c r="B13511" s="8" t="s">
        <v>13077</v>
      </c>
    </row>
    <row r="13512" spans="1:2" x14ac:dyDescent="0.3">
      <c r="A13512" s="9" t="str">
        <f>HYPERLINK("http://www.eatonpowersource.com/products/configure/motors/details/104-3926-006","104-3926-006")</f>
        <v>104-3926-006</v>
      </c>
      <c r="B13512" s="10" t="s">
        <v>13078</v>
      </c>
    </row>
    <row r="13513" spans="1:2" x14ac:dyDescent="0.3">
      <c r="A13513" s="7" t="str">
        <f>HYPERLINK("http://www.eatonpowersource.com/products/configure/motors/details/104-3931-006","104-3931-006")</f>
        <v>104-3931-006</v>
      </c>
      <c r="B13513" s="8" t="s">
        <v>13079</v>
      </c>
    </row>
    <row r="13514" spans="1:2" x14ac:dyDescent="0.3">
      <c r="A13514" s="9" t="str">
        <f>HYPERLINK("http://www.eatonpowersource.com/products/configure/motors/details/104-3934-006","104-3934-006")</f>
        <v>104-3934-006</v>
      </c>
      <c r="B13514" s="10" t="s">
        <v>13080</v>
      </c>
    </row>
    <row r="13515" spans="1:2" x14ac:dyDescent="0.3">
      <c r="A13515" s="7" t="str">
        <f>HYPERLINK("http://www.eatonpowersource.com/products/configure/motors/details/104-3938-006","104-3938-006")</f>
        <v>104-3938-006</v>
      </c>
      <c r="B13515" s="8" t="s">
        <v>13081</v>
      </c>
    </row>
    <row r="13516" spans="1:2" x14ac:dyDescent="0.3">
      <c r="A13516" s="9" t="str">
        <f>HYPERLINK("http://www.eatonpowersource.com/products/configure/motors/details/104-3948-006","104-3948-006")</f>
        <v>104-3948-006</v>
      </c>
      <c r="B13516" s="10" t="s">
        <v>13082</v>
      </c>
    </row>
    <row r="13517" spans="1:2" x14ac:dyDescent="0.3">
      <c r="A13517" s="7" t="str">
        <f>HYPERLINK("http://www.eatonpowersource.com/products/configure/motors/details/104-3955-006","104-3955-006")</f>
        <v>104-3955-006</v>
      </c>
      <c r="B13517" s="8" t="s">
        <v>13083</v>
      </c>
    </row>
    <row r="13518" spans="1:2" x14ac:dyDescent="0.3">
      <c r="A13518" s="9" t="str">
        <f>HYPERLINK("http://www.eatonpowersource.com/products/configure/motors/details/104-3962-006","104-3962-006")</f>
        <v>104-3962-006</v>
      </c>
      <c r="B13518" s="10" t="s">
        <v>13084</v>
      </c>
    </row>
    <row r="13519" spans="1:2" x14ac:dyDescent="0.3">
      <c r="A13519" s="7" t="str">
        <f>HYPERLINK("http://www.eatonpowersource.com/products/configure/motors/details/104-3997-006","104-3997-006")</f>
        <v>104-3997-006</v>
      </c>
      <c r="B13519" s="8" t="s">
        <v>13085</v>
      </c>
    </row>
    <row r="13520" spans="1:2" x14ac:dyDescent="0.3">
      <c r="A13520" s="9" t="str">
        <f>HYPERLINK("http://www.eatonpowersource.com/products/configure/motors/details/104-4001-006","104-4001-006")</f>
        <v>104-4001-006</v>
      </c>
      <c r="B13520" s="10" t="s">
        <v>13086</v>
      </c>
    </row>
    <row r="13521" spans="1:2" x14ac:dyDescent="0.3">
      <c r="A13521" s="7" t="str">
        <f>HYPERLINK("http://www.eatonpowersource.com/products/configure/motors/details/104-4004-006","104-4004-006")</f>
        <v>104-4004-006</v>
      </c>
      <c r="B13521" s="8" t="s">
        <v>13087</v>
      </c>
    </row>
    <row r="13522" spans="1:2" x14ac:dyDescent="0.3">
      <c r="A13522" s="9" t="str">
        <f>HYPERLINK("http://www.eatonpowersource.com/products/configure/motors/details/104-4013-006","104-4013-006")</f>
        <v>104-4013-006</v>
      </c>
      <c r="B13522" s="10" t="s">
        <v>13088</v>
      </c>
    </row>
    <row r="13523" spans="1:2" x14ac:dyDescent="0.3">
      <c r="A13523" s="7" t="str">
        <f>HYPERLINK("http://www.eatonpowersource.com/products/configure/motors/details/104-4014-006","104-4014-006")</f>
        <v>104-4014-006</v>
      </c>
      <c r="B13523" s="8" t="s">
        <v>13089</v>
      </c>
    </row>
    <row r="13524" spans="1:2" x14ac:dyDescent="0.3">
      <c r="A13524" s="9" t="str">
        <f>HYPERLINK("http://www.eatonpowersource.com/products/configure/motors/details/104-4022-006","104-4022-006")</f>
        <v>104-4022-006</v>
      </c>
      <c r="B13524" s="10" t="s">
        <v>13090</v>
      </c>
    </row>
    <row r="13525" spans="1:2" x14ac:dyDescent="0.3">
      <c r="A13525" s="7" t="str">
        <f>HYPERLINK("http://www.eatonpowersource.com/products/configure/motors/details/104-4027-006","104-4027-006")</f>
        <v>104-4027-006</v>
      </c>
      <c r="B13525" s="8" t="s">
        <v>13091</v>
      </c>
    </row>
    <row r="13526" spans="1:2" x14ac:dyDescent="0.3">
      <c r="A13526" s="9" t="str">
        <f>HYPERLINK("http://www.eatonpowersource.com/products/configure/motors/details/104-4032-006","104-4032-006")</f>
        <v>104-4032-006</v>
      </c>
      <c r="B13526" s="10" t="s">
        <v>13092</v>
      </c>
    </row>
    <row r="13527" spans="1:2" x14ac:dyDescent="0.3">
      <c r="A13527" s="7" t="str">
        <f>HYPERLINK("http://www.eatonpowersource.com/products/configure/motors/details/104-4041-006","104-4041-006")</f>
        <v>104-4041-006</v>
      </c>
      <c r="B13527" s="8" t="s">
        <v>13093</v>
      </c>
    </row>
    <row r="13528" spans="1:2" x14ac:dyDescent="0.3">
      <c r="A13528" s="9" t="str">
        <f>HYPERLINK("http://www.eatonpowersource.com/products/configure/motors/details/104-4042-006","104-4042-006")</f>
        <v>104-4042-006</v>
      </c>
      <c r="B13528" s="10" t="s">
        <v>13094</v>
      </c>
    </row>
    <row r="13529" spans="1:2" x14ac:dyDescent="0.3">
      <c r="A13529" s="7" t="str">
        <f>HYPERLINK("http://www.eatonpowersource.com/products/configure/motors/details/104-4053-006","104-4053-006")</f>
        <v>104-4053-006</v>
      </c>
      <c r="B13529" s="8" t="s">
        <v>13095</v>
      </c>
    </row>
    <row r="13530" spans="1:2" x14ac:dyDescent="0.3">
      <c r="A13530" s="9" t="str">
        <f>HYPERLINK("http://www.eatonpowersource.com/products/configure/motors/details/104-4076-006","104-4076-006")</f>
        <v>104-4076-006</v>
      </c>
      <c r="B13530" s="10" t="s">
        <v>13096</v>
      </c>
    </row>
    <row r="13531" spans="1:2" x14ac:dyDescent="0.3">
      <c r="A13531" s="7" t="str">
        <f>HYPERLINK("http://www.eatonpowersource.com/products/configure/motors/details/104-4114-006","104-4114-006")</f>
        <v>104-4114-006</v>
      </c>
      <c r="B13531" s="8" t="s">
        <v>13097</v>
      </c>
    </row>
    <row r="13532" spans="1:2" x14ac:dyDescent="0.3">
      <c r="A13532" s="9" t="str">
        <f>HYPERLINK("http://www.eatonpowersource.com/products/configure/motors/details/104-4117-006","104-4117-006")</f>
        <v>104-4117-006</v>
      </c>
      <c r="B13532" s="10" t="s">
        <v>13098</v>
      </c>
    </row>
    <row r="13533" spans="1:2" x14ac:dyDescent="0.3">
      <c r="A13533" s="7" t="str">
        <f>HYPERLINK("http://www.eatonpowersource.com/products/configure/motors/details/104-4130-006","104-4130-006")</f>
        <v>104-4130-006</v>
      </c>
      <c r="B13533" s="8" t="s">
        <v>13099</v>
      </c>
    </row>
    <row r="13534" spans="1:2" x14ac:dyDescent="0.3">
      <c r="A13534" s="9" t="str">
        <f>HYPERLINK("http://www.eatonpowersource.com/products/configure/motors/details/104-4140-006","104-4140-006")</f>
        <v>104-4140-006</v>
      </c>
      <c r="B13534" s="10" t="s">
        <v>13100</v>
      </c>
    </row>
    <row r="13535" spans="1:2" x14ac:dyDescent="0.3">
      <c r="A13535" s="7" t="str">
        <f>HYPERLINK("http://www.eatonpowersource.com/products/configure/motors/details/104-4152-006","104-4152-006")</f>
        <v>104-4152-006</v>
      </c>
      <c r="B13535" s="8" t="s">
        <v>13101</v>
      </c>
    </row>
    <row r="13536" spans="1:2" x14ac:dyDescent="0.3">
      <c r="A13536" s="9" t="str">
        <f>HYPERLINK("http://www.eatonpowersource.com/products/configure/motors/details/104-4156-006","104-4156-006")</f>
        <v>104-4156-006</v>
      </c>
      <c r="B13536" s="10" t="s">
        <v>13102</v>
      </c>
    </row>
    <row r="13537" spans="1:2" x14ac:dyDescent="0.3">
      <c r="A13537" s="7" t="str">
        <f>HYPERLINK("http://www.eatonpowersource.com/products/configure/motors/details/104-4161-006","104-4161-006")</f>
        <v>104-4161-006</v>
      </c>
      <c r="B13537" s="8" t="s">
        <v>13103</v>
      </c>
    </row>
    <row r="13538" spans="1:2" x14ac:dyDescent="0.3">
      <c r="A13538" s="9" t="str">
        <f>HYPERLINK("http://www.eatonpowersource.com/products/configure/motors/details/104-4163-006","104-4163-006")</f>
        <v>104-4163-006</v>
      </c>
      <c r="B13538" s="10" t="s">
        <v>13104</v>
      </c>
    </row>
    <row r="13539" spans="1:2" x14ac:dyDescent="0.3">
      <c r="A13539" s="7" t="str">
        <f>HYPERLINK("http://www.eatonpowersource.com/products/configure/motors/details/104-4164-006","104-4164-006")</f>
        <v>104-4164-006</v>
      </c>
      <c r="B13539" s="8" t="s">
        <v>13105</v>
      </c>
    </row>
    <row r="13540" spans="1:2" x14ac:dyDescent="0.3">
      <c r="A13540" s="9" t="str">
        <f>HYPERLINK("http://www.eatonpowersource.com/products/configure/motors/details/104-4174-006","104-4174-006")</f>
        <v>104-4174-006</v>
      </c>
      <c r="B13540" s="10" t="s">
        <v>13106</v>
      </c>
    </row>
    <row r="13541" spans="1:2" x14ac:dyDescent="0.3">
      <c r="A13541" s="7" t="str">
        <f>HYPERLINK("http://www.eatonpowersource.com/products/configure/motors/details/104-4178-006","104-4178-006")</f>
        <v>104-4178-006</v>
      </c>
      <c r="B13541" s="8" t="s">
        <v>13107</v>
      </c>
    </row>
    <row r="13542" spans="1:2" x14ac:dyDescent="0.3">
      <c r="A13542" s="9" t="str">
        <f>HYPERLINK("http://www.eatonpowersource.com/products/configure/motors/details/104-4187-006","104-4187-006")</f>
        <v>104-4187-006</v>
      </c>
      <c r="B13542" s="10" t="s">
        <v>13108</v>
      </c>
    </row>
    <row r="13543" spans="1:2" x14ac:dyDescent="0.3">
      <c r="A13543" s="7" t="str">
        <f>HYPERLINK("http://www.eatonpowersource.com/products/configure/motors/details/104-4194-006","104-4194-006")</f>
        <v>104-4194-006</v>
      </c>
      <c r="B13543" s="8" t="s">
        <v>13109</v>
      </c>
    </row>
    <row r="13544" spans="1:2" x14ac:dyDescent="0.3">
      <c r="A13544" s="9" t="str">
        <f>HYPERLINK("http://www.eatonpowersource.com/products/configure/motors/details/104-4202-006","104-4202-006")</f>
        <v>104-4202-006</v>
      </c>
      <c r="B13544" s="10" t="s">
        <v>13110</v>
      </c>
    </row>
    <row r="13545" spans="1:2" x14ac:dyDescent="0.3">
      <c r="A13545" s="7" t="str">
        <f>HYPERLINK("http://www.eatonpowersource.com/products/configure/motors/details/104-4212-006","104-4212-006")</f>
        <v>104-4212-006</v>
      </c>
      <c r="B13545" s="8" t="s">
        <v>13111</v>
      </c>
    </row>
    <row r="13546" spans="1:2" x14ac:dyDescent="0.3">
      <c r="A13546" s="9" t="str">
        <f>HYPERLINK("http://www.eatonpowersource.com/products/configure/motors/details/104-4246-006","104-4246-006")</f>
        <v>104-4246-006</v>
      </c>
      <c r="B13546" s="10" t="s">
        <v>13112</v>
      </c>
    </row>
    <row r="13547" spans="1:2" x14ac:dyDescent="0.3">
      <c r="A13547" s="7" t="str">
        <f>HYPERLINK("http://www.eatonpowersource.com/products/configure/motors/details/104-4247-006","104-4247-006")</f>
        <v>104-4247-006</v>
      </c>
      <c r="B13547" s="8" t="s">
        <v>13113</v>
      </c>
    </row>
    <row r="13548" spans="1:2" x14ac:dyDescent="0.3">
      <c r="A13548" s="9" t="str">
        <f>HYPERLINK("http://www.eatonpowersource.com/products/configure/motors/details/104-4260-006","104-4260-006")</f>
        <v>104-4260-006</v>
      </c>
      <c r="B13548" s="10" t="s">
        <v>13114</v>
      </c>
    </row>
    <row r="13549" spans="1:2" x14ac:dyDescent="0.3">
      <c r="A13549" s="7" t="str">
        <f>HYPERLINK("http://www.eatonpowersource.com/products/configure/motors/details/104-4295-006","104-4295-006")</f>
        <v>104-4295-006</v>
      </c>
      <c r="B13549" s="8" t="s">
        <v>13115</v>
      </c>
    </row>
    <row r="13550" spans="1:2" x14ac:dyDescent="0.3">
      <c r="A13550" s="9" t="str">
        <f>HYPERLINK("http://www.eatonpowersource.com/products/configure/motors/details/104-4298-006","104-4298-006")</f>
        <v>104-4298-006</v>
      </c>
      <c r="B13550" s="10" t="s">
        <v>13116</v>
      </c>
    </row>
    <row r="13551" spans="1:2" x14ac:dyDescent="0.3">
      <c r="A13551" s="7" t="str">
        <f>HYPERLINK("http://www.eatonpowersource.com/products/configure/motors/details/104-4306-006","104-4306-006")</f>
        <v>104-4306-006</v>
      </c>
      <c r="B13551" s="8" t="s">
        <v>13117</v>
      </c>
    </row>
    <row r="13552" spans="1:2" x14ac:dyDescent="0.3">
      <c r="A13552" s="9" t="str">
        <f>HYPERLINK("http://www.eatonpowersource.com/products/configure/motors/details/104-4307-006","104-4307-006")</f>
        <v>104-4307-006</v>
      </c>
      <c r="B13552" s="10" t="s">
        <v>13118</v>
      </c>
    </row>
    <row r="13553" spans="1:2" x14ac:dyDescent="0.3">
      <c r="A13553" s="7" t="str">
        <f>HYPERLINK("http://www.eatonpowersource.com/products/configure/motors/details/104-4314-006","104-4314-006")</f>
        <v>104-4314-006</v>
      </c>
      <c r="B13553" s="8" t="s">
        <v>13119</v>
      </c>
    </row>
    <row r="13554" spans="1:2" x14ac:dyDescent="0.3">
      <c r="A13554" s="9" t="str">
        <f>HYPERLINK("http://www.eatonpowersource.com/products/configure/motors/details/104-4315-006","104-4315-006")</f>
        <v>104-4315-006</v>
      </c>
      <c r="B13554" s="10" t="s">
        <v>13120</v>
      </c>
    </row>
    <row r="13555" spans="1:2" x14ac:dyDescent="0.3">
      <c r="A13555" s="7" t="str">
        <f>HYPERLINK("http://www.eatonpowersource.com/products/configure/motors/details/104-4332-006","104-4332-006")</f>
        <v>104-4332-006</v>
      </c>
      <c r="B13555" s="8" t="s">
        <v>13121</v>
      </c>
    </row>
    <row r="13556" spans="1:2" x14ac:dyDescent="0.3">
      <c r="A13556" s="9" t="str">
        <f>HYPERLINK("http://www.eatonpowersource.com/products/configure/motors/details/104-4334-006","104-4334-006")</f>
        <v>104-4334-006</v>
      </c>
      <c r="B13556" s="10" t="s">
        <v>13122</v>
      </c>
    </row>
    <row r="13557" spans="1:2" x14ac:dyDescent="0.3">
      <c r="A13557" s="7" t="str">
        <f>HYPERLINK("http://www.eatonpowersource.com/products/configure/motors/details/104-4338-006","104-4338-006")</f>
        <v>104-4338-006</v>
      </c>
      <c r="B13557" s="8" t="s">
        <v>13123</v>
      </c>
    </row>
    <row r="13558" spans="1:2" x14ac:dyDescent="0.3">
      <c r="A13558" s="9" t="str">
        <f>HYPERLINK("http://www.eatonpowersource.com/products/configure/motors/details/104-4350-006","104-4350-006")</f>
        <v>104-4350-006</v>
      </c>
      <c r="B13558" s="10" t="s">
        <v>13124</v>
      </c>
    </row>
    <row r="13559" spans="1:2" x14ac:dyDescent="0.3">
      <c r="A13559" s="7" t="str">
        <f>HYPERLINK("http://www.eatonpowersource.com/products/configure/motors/details/104-4352-006","104-4352-006")</f>
        <v>104-4352-006</v>
      </c>
      <c r="B13559" s="8" t="s">
        <v>13125</v>
      </c>
    </row>
    <row r="13560" spans="1:2" x14ac:dyDescent="0.3">
      <c r="A13560" s="9" t="str">
        <f>HYPERLINK("http://www.eatonpowersource.com/products/configure/motors/details/104-4361-006","104-4361-006")</f>
        <v>104-4361-006</v>
      </c>
      <c r="B13560" s="10" t="s">
        <v>13126</v>
      </c>
    </row>
    <row r="13561" spans="1:2" x14ac:dyDescent="0.3">
      <c r="A13561" s="7" t="str">
        <f>HYPERLINK("http://www.eatonpowersource.com/products/configure/motors/details/104-4384-006","104-4384-006")</f>
        <v>104-4384-006</v>
      </c>
      <c r="B13561" s="8" t="s">
        <v>13127</v>
      </c>
    </row>
    <row r="13562" spans="1:2" x14ac:dyDescent="0.3">
      <c r="A13562" s="9" t="str">
        <f>HYPERLINK("http://www.eatonpowersource.com/products/configure/motors/details/104-4399-006","104-4399-006")</f>
        <v>104-4399-006</v>
      </c>
      <c r="B13562" s="10" t="s">
        <v>13128</v>
      </c>
    </row>
    <row r="13563" spans="1:2" x14ac:dyDescent="0.3">
      <c r="A13563" s="7" t="str">
        <f>HYPERLINK("http://www.eatonpowersource.com/products/configure/motors/details/104-4400-006","104-4400-006")</f>
        <v>104-4400-006</v>
      </c>
      <c r="B13563" s="8" t="s">
        <v>13129</v>
      </c>
    </row>
    <row r="13564" spans="1:2" x14ac:dyDescent="0.3">
      <c r="A13564" s="9" t="str">
        <f>HYPERLINK("http://www.eatonpowersource.com/products/configure/motors/details/104-4401-006","104-4401-006")</f>
        <v>104-4401-006</v>
      </c>
      <c r="B13564" s="10" t="s">
        <v>13130</v>
      </c>
    </row>
    <row r="13565" spans="1:2" x14ac:dyDescent="0.3">
      <c r="A13565" s="7" t="str">
        <f>HYPERLINK("http://www.eatonpowersource.com/products/configure/motors/details/104-4402-006","104-4402-006")</f>
        <v>104-4402-006</v>
      </c>
      <c r="B13565" s="8" t="s">
        <v>13128</v>
      </c>
    </row>
    <row r="13566" spans="1:2" x14ac:dyDescent="0.3">
      <c r="A13566" s="9" t="str">
        <f>HYPERLINK("http://www.eatonpowersource.com/products/configure/motors/details/104-4410-006","104-4410-006")</f>
        <v>104-4410-006</v>
      </c>
      <c r="B13566" s="10" t="s">
        <v>13131</v>
      </c>
    </row>
    <row r="13567" spans="1:2" x14ac:dyDescent="0.3">
      <c r="A13567" s="7" t="str">
        <f>HYPERLINK("http://www.eatonpowersource.com/products/configure/motors/details/104-4411-006","104-4411-006")</f>
        <v>104-4411-006</v>
      </c>
      <c r="B13567" s="8" t="s">
        <v>13132</v>
      </c>
    </row>
    <row r="13568" spans="1:2" x14ac:dyDescent="0.3">
      <c r="A13568" s="9" t="str">
        <f>HYPERLINK("http://www.eatonpowersource.com/products/configure/motors/details/104-4416-006","104-4416-006")</f>
        <v>104-4416-006</v>
      </c>
      <c r="B13568" s="10" t="s">
        <v>13133</v>
      </c>
    </row>
    <row r="13569" spans="1:2" x14ac:dyDescent="0.3">
      <c r="A13569" s="7" t="str">
        <f>HYPERLINK("http://www.eatonpowersource.com/products/configure/motors/details/104-4432-006","104-4432-006")</f>
        <v>104-4432-006</v>
      </c>
      <c r="B13569" s="8" t="s">
        <v>13134</v>
      </c>
    </row>
    <row r="13570" spans="1:2" x14ac:dyDescent="0.3">
      <c r="A13570" s="9" t="str">
        <f>HYPERLINK("http://www.eatonpowersource.com/products/configure/motors/details/104-4448-006","104-4448-006")</f>
        <v>104-4448-006</v>
      </c>
      <c r="B13570" s="10" t="s">
        <v>13135</v>
      </c>
    </row>
    <row r="13571" spans="1:2" x14ac:dyDescent="0.3">
      <c r="A13571" s="7" t="str">
        <f>HYPERLINK("http://www.eatonpowersource.com/products/configure/motors/details/104-4460-006","104-4460-006")</f>
        <v>104-4460-006</v>
      </c>
      <c r="B13571" s="8" t="s">
        <v>13136</v>
      </c>
    </row>
    <row r="13572" spans="1:2" x14ac:dyDescent="0.3">
      <c r="A13572" s="9" t="str">
        <f>HYPERLINK("http://www.eatonpowersource.com/products/configure/motors/details/104-4470-006","104-4470-006")</f>
        <v>104-4470-006</v>
      </c>
      <c r="B13572" s="10" t="s">
        <v>13137</v>
      </c>
    </row>
    <row r="13573" spans="1:2" x14ac:dyDescent="0.3">
      <c r="A13573" s="7" t="str">
        <f>HYPERLINK("http://www.eatonpowersource.com/products/configure/motors/details/104-4478-006","104-4478-006")</f>
        <v>104-4478-006</v>
      </c>
      <c r="B13573" s="8" t="s">
        <v>13138</v>
      </c>
    </row>
    <row r="13574" spans="1:2" x14ac:dyDescent="0.3">
      <c r="A13574" s="9" t="str">
        <f>HYPERLINK("http://www.eatonpowersource.com/products/configure/motors/details/104-4484-006","104-4484-006")</f>
        <v>104-4484-006</v>
      </c>
      <c r="B13574" s="10" t="s">
        <v>13139</v>
      </c>
    </row>
    <row r="13575" spans="1:2" x14ac:dyDescent="0.3">
      <c r="A13575" s="7" t="str">
        <f>HYPERLINK("http://www.eatonpowersource.com/products/configure/motors/details/104-4515-006","104-4515-006")</f>
        <v>104-4515-006</v>
      </c>
      <c r="B13575" s="8" t="s">
        <v>13140</v>
      </c>
    </row>
    <row r="13576" spans="1:2" x14ac:dyDescent="0.3">
      <c r="A13576" s="9" t="str">
        <f>HYPERLINK("http://www.eatonpowersource.com/products/configure/motors/details/104-4523-006","104-4523-006")</f>
        <v>104-4523-006</v>
      </c>
      <c r="B13576" s="10" t="s">
        <v>13141</v>
      </c>
    </row>
    <row r="13577" spans="1:2" x14ac:dyDescent="0.3">
      <c r="A13577" s="7" t="str">
        <f>HYPERLINK("http://www.eatonpowersource.com/products/configure/motors/details/104-4534-006","104-4534-006")</f>
        <v>104-4534-006</v>
      </c>
      <c r="B13577" s="8" t="s">
        <v>13142</v>
      </c>
    </row>
    <row r="13578" spans="1:2" x14ac:dyDescent="0.3">
      <c r="A13578" s="9" t="str">
        <f>HYPERLINK("http://www.eatonpowersource.com/products/configure/motors/details/104-4538-006","104-4538-006")</f>
        <v>104-4538-006</v>
      </c>
      <c r="B13578" s="10" t="s">
        <v>13143</v>
      </c>
    </row>
    <row r="13579" spans="1:2" x14ac:dyDescent="0.3">
      <c r="A13579" s="7" t="str">
        <f>HYPERLINK("http://www.eatonpowersource.com/products/configure/motors/details/104-4544-006","104-4544-006")</f>
        <v>104-4544-006</v>
      </c>
      <c r="B13579" s="8" t="s">
        <v>13144</v>
      </c>
    </row>
    <row r="13580" spans="1:2" x14ac:dyDescent="0.3">
      <c r="A13580" s="9" t="str">
        <f>HYPERLINK("http://www.eatonpowersource.com/products/configure/motors/details/104-4551-006","104-4551-006")</f>
        <v>104-4551-006</v>
      </c>
      <c r="B13580" s="10" t="s">
        <v>13145</v>
      </c>
    </row>
    <row r="13581" spans="1:2" x14ac:dyDescent="0.3">
      <c r="A13581" s="7" t="str">
        <f>HYPERLINK("http://www.eatonpowersource.com/products/configure/motors/details/104-4576-006","104-4576-006")</f>
        <v>104-4576-006</v>
      </c>
      <c r="B13581" s="8" t="s">
        <v>13146</v>
      </c>
    </row>
    <row r="13582" spans="1:2" x14ac:dyDescent="0.3">
      <c r="A13582" s="9" t="str">
        <f>HYPERLINK("http://www.eatonpowersource.com/products/configure/motors/details/104-4583-006","104-4583-006")</f>
        <v>104-4583-006</v>
      </c>
      <c r="B13582" s="10" t="s">
        <v>13147</v>
      </c>
    </row>
    <row r="13583" spans="1:2" x14ac:dyDescent="0.3">
      <c r="A13583" s="7" t="str">
        <f>HYPERLINK("http://www.eatonpowersource.com/products/configure/motors/details/104-4584-006","104-4584-006")</f>
        <v>104-4584-006</v>
      </c>
      <c r="B13583" s="8" t="s">
        <v>13148</v>
      </c>
    </row>
    <row r="13584" spans="1:2" x14ac:dyDescent="0.3">
      <c r="A13584" s="9" t="str">
        <f>HYPERLINK("http://www.eatonpowersource.com/products/configure/motors/details/104-4587-006","104-4587-006")</f>
        <v>104-4587-006</v>
      </c>
      <c r="B13584" s="10" t="s">
        <v>13149</v>
      </c>
    </row>
    <row r="13585" spans="1:2" x14ac:dyDescent="0.3">
      <c r="A13585" s="7" t="str">
        <f>HYPERLINK("http://www.eatonpowersource.com/products/configure/motors/details/104-4594-006","104-4594-006")</f>
        <v>104-4594-006</v>
      </c>
      <c r="B13585" s="8" t="s">
        <v>13150</v>
      </c>
    </row>
    <row r="13586" spans="1:2" x14ac:dyDescent="0.3">
      <c r="A13586" s="9" t="str">
        <f>HYPERLINK("http://www.eatonpowersource.com/products/configure/motors/details/104-4595-006","104-4595-006")</f>
        <v>104-4595-006</v>
      </c>
      <c r="B13586" s="10" t="s">
        <v>13151</v>
      </c>
    </row>
    <row r="13587" spans="1:2" x14ac:dyDescent="0.3">
      <c r="A13587" s="7" t="str">
        <f>HYPERLINK("http://www.eatonpowersource.com/products/configure/motors/details/104-4598-006","104-4598-006")</f>
        <v>104-4598-006</v>
      </c>
      <c r="B13587" s="8" t="s">
        <v>13152</v>
      </c>
    </row>
    <row r="13588" spans="1:2" x14ac:dyDescent="0.3">
      <c r="A13588" s="9" t="str">
        <f>HYPERLINK("http://www.eatonpowersource.com/products/configure/motors/details/104-4616-006","104-4616-006")</f>
        <v>104-4616-006</v>
      </c>
      <c r="B13588" s="10" t="s">
        <v>13153</v>
      </c>
    </row>
    <row r="13589" spans="1:2" x14ac:dyDescent="0.3">
      <c r="A13589" s="7" t="str">
        <f>HYPERLINK("http://www.eatonpowersource.com/products/configure/motors/details/104-4619-006","104-4619-006")</f>
        <v>104-4619-006</v>
      </c>
      <c r="B13589" s="8" t="s">
        <v>13154</v>
      </c>
    </row>
    <row r="13590" spans="1:2" x14ac:dyDescent="0.3">
      <c r="A13590" s="9" t="str">
        <f>HYPERLINK("http://www.eatonpowersource.com/products/configure/motors/details/104-4635-006","104-4635-006")</f>
        <v>104-4635-006</v>
      </c>
      <c r="B13590" s="10" t="s">
        <v>13155</v>
      </c>
    </row>
    <row r="13591" spans="1:2" x14ac:dyDescent="0.3">
      <c r="A13591" s="7" t="str">
        <f>HYPERLINK("http://www.eatonpowersource.com/products/configure/motors/details/104-4648-006","104-4648-006")</f>
        <v>104-4648-006</v>
      </c>
      <c r="B13591" s="8" t="s">
        <v>13156</v>
      </c>
    </row>
    <row r="13592" spans="1:2" x14ac:dyDescent="0.3">
      <c r="A13592" s="9" t="str">
        <f>HYPERLINK("http://www.eatonpowersource.com/products/configure/motors/details/104-4649-006","104-4649-006")</f>
        <v>104-4649-006</v>
      </c>
      <c r="B13592" s="10" t="s">
        <v>13157</v>
      </c>
    </row>
    <row r="13593" spans="1:2" x14ac:dyDescent="0.3">
      <c r="A13593" s="7" t="str">
        <f>HYPERLINK("http://www.eatonpowersource.com/products/configure/motors/details/104-4650-006","104-4650-006")</f>
        <v>104-4650-006</v>
      </c>
      <c r="B13593" s="8" t="s">
        <v>13158</v>
      </c>
    </row>
    <row r="13594" spans="1:2" x14ac:dyDescent="0.3">
      <c r="A13594" s="9" t="str">
        <f>HYPERLINK("http://www.eatonpowersource.com/products/configure/motors/details/104-4651-006","104-4651-006")</f>
        <v>104-4651-006</v>
      </c>
      <c r="B13594" s="10" t="s">
        <v>13159</v>
      </c>
    </row>
    <row r="13595" spans="1:2" x14ac:dyDescent="0.3">
      <c r="A13595" s="7" t="str">
        <f>HYPERLINK("http://www.eatonpowersource.com/products/configure/motors/details/104-4652-006","104-4652-006")</f>
        <v>104-4652-006</v>
      </c>
      <c r="B13595" s="8" t="s">
        <v>13160</v>
      </c>
    </row>
    <row r="13596" spans="1:2" x14ac:dyDescent="0.3">
      <c r="A13596" s="9" t="str">
        <f>HYPERLINK("http://www.eatonpowersource.com/products/configure/motors/details/104-4653-006","104-4653-006")</f>
        <v>104-4653-006</v>
      </c>
      <c r="B13596" s="10" t="s">
        <v>13161</v>
      </c>
    </row>
    <row r="13597" spans="1:2" x14ac:dyDescent="0.3">
      <c r="A13597" s="7" t="str">
        <f>HYPERLINK("http://www.eatonpowersource.com/products/configure/motors/details/104-4680-006","104-4680-006")</f>
        <v>104-4680-006</v>
      </c>
      <c r="B13597" s="8" t="s">
        <v>13162</v>
      </c>
    </row>
    <row r="13598" spans="1:2" x14ac:dyDescent="0.3">
      <c r="A13598" s="9" t="str">
        <f>HYPERLINK("http://www.eatonpowersource.com/products/configure/motors/details/104-4682-006","104-4682-006")</f>
        <v>104-4682-006</v>
      </c>
      <c r="B13598" s="10" t="s">
        <v>13163</v>
      </c>
    </row>
    <row r="13599" spans="1:2" x14ac:dyDescent="0.3">
      <c r="A13599" s="7" t="str">
        <f>HYPERLINK("http://www.eatonpowersource.com/products/configure/motors/details/104-4705-006","104-4705-006")</f>
        <v>104-4705-006</v>
      </c>
      <c r="B13599" s="8" t="s">
        <v>13164</v>
      </c>
    </row>
    <row r="13600" spans="1:2" x14ac:dyDescent="0.3">
      <c r="A13600" s="9" t="str">
        <f>HYPERLINK("http://www.eatonpowersource.com/products/configure/motors/details/104-4706-006","104-4706-006")</f>
        <v>104-4706-006</v>
      </c>
      <c r="B13600" s="10" t="s">
        <v>13165</v>
      </c>
    </row>
    <row r="13601" spans="1:2" x14ac:dyDescent="0.3">
      <c r="A13601" s="7" t="str">
        <f>HYPERLINK("http://www.eatonpowersource.com/products/configure/motors/details/104-4714-006","104-4714-006")</f>
        <v>104-4714-006</v>
      </c>
      <c r="B13601" s="8" t="s">
        <v>13166</v>
      </c>
    </row>
    <row r="13602" spans="1:2" x14ac:dyDescent="0.3">
      <c r="A13602" s="9" t="str">
        <f>HYPERLINK("http://www.eatonpowersource.com/products/configure/motors/details/104-4735-006","104-4735-006")</f>
        <v>104-4735-006</v>
      </c>
      <c r="B13602" s="10" t="s">
        <v>13167</v>
      </c>
    </row>
    <row r="13603" spans="1:2" x14ac:dyDescent="0.3">
      <c r="A13603" s="7" t="str">
        <f>HYPERLINK("http://www.eatonpowersource.com/products/configure/motors/details/104-4743-006","104-4743-006")</f>
        <v>104-4743-006</v>
      </c>
      <c r="B13603" s="8" t="s">
        <v>13168</v>
      </c>
    </row>
    <row r="13604" spans="1:2" x14ac:dyDescent="0.3">
      <c r="A13604" s="9" t="str">
        <f>HYPERLINK("http://www.eatonpowersource.com/products/configure/motors/details/104-4749-006","104-4749-006")</f>
        <v>104-4749-006</v>
      </c>
      <c r="B13604" s="10" t="s">
        <v>13169</v>
      </c>
    </row>
    <row r="13605" spans="1:2" x14ac:dyDescent="0.3">
      <c r="A13605" s="7" t="str">
        <f>HYPERLINK("http://www.eatonpowersource.com/products/configure/motors/details/104-4776-006","104-4776-006")</f>
        <v>104-4776-006</v>
      </c>
      <c r="B13605" s="8" t="s">
        <v>13170</v>
      </c>
    </row>
    <row r="13606" spans="1:2" x14ac:dyDescent="0.3">
      <c r="A13606" s="9" t="str">
        <f>HYPERLINK("http://www.eatonpowersource.com/products/configure/motors/details/104-4777-006","104-4777-006")</f>
        <v>104-4777-006</v>
      </c>
      <c r="B13606" s="10" t="s">
        <v>13171</v>
      </c>
    </row>
    <row r="13607" spans="1:2" x14ac:dyDescent="0.3">
      <c r="A13607" s="7" t="str">
        <f>HYPERLINK("http://www.eatonpowersource.com/products/configure/motors/details/104-4789-006","104-4789-006")</f>
        <v>104-4789-006</v>
      </c>
      <c r="B13607" s="8" t="s">
        <v>13172</v>
      </c>
    </row>
    <row r="13608" spans="1:2" x14ac:dyDescent="0.3">
      <c r="A13608" s="9" t="str">
        <f>HYPERLINK("http://www.eatonpowersource.com/products/configure/motors/details/104-4790-006","104-4790-006")</f>
        <v>104-4790-006</v>
      </c>
      <c r="B13608" s="10" t="s">
        <v>13173</v>
      </c>
    </row>
    <row r="13609" spans="1:2" x14ac:dyDescent="0.3">
      <c r="A13609" s="7" t="str">
        <f>HYPERLINK("http://www.eatonpowersource.com/products/configure/motors/details/104-4791-006","104-4791-006")</f>
        <v>104-4791-006</v>
      </c>
      <c r="B13609" s="8" t="s">
        <v>13174</v>
      </c>
    </row>
    <row r="13610" spans="1:2" x14ac:dyDescent="0.3">
      <c r="A13610" s="9" t="str">
        <f>HYPERLINK("http://www.eatonpowersource.com/products/configure/motors/details/104-4798-006","104-4798-006")</f>
        <v>104-4798-006</v>
      </c>
      <c r="B13610" s="10" t="s">
        <v>13175</v>
      </c>
    </row>
    <row r="13611" spans="1:2" x14ac:dyDescent="0.3">
      <c r="A13611" s="7" t="str">
        <f>HYPERLINK("http://www.eatonpowersource.com/products/configure/motors/details/104-4801-006","104-4801-006")</f>
        <v>104-4801-006</v>
      </c>
      <c r="B13611" s="8" t="s">
        <v>13176</v>
      </c>
    </row>
    <row r="13612" spans="1:2" x14ac:dyDescent="0.3">
      <c r="A13612" s="9" t="str">
        <f>HYPERLINK("http://www.eatonpowersource.com/products/configure/motors/details/104-4804-006","104-4804-006")</f>
        <v>104-4804-006</v>
      </c>
      <c r="B13612" s="10" t="s">
        <v>13177</v>
      </c>
    </row>
    <row r="13613" spans="1:2" x14ac:dyDescent="0.3">
      <c r="A13613" s="7" t="str">
        <f>HYPERLINK("http://www.eatonpowersource.com/products/configure/motors/details/104-4805-006","104-4805-006")</f>
        <v>104-4805-006</v>
      </c>
      <c r="B13613" s="8" t="s">
        <v>13178</v>
      </c>
    </row>
    <row r="13614" spans="1:2" x14ac:dyDescent="0.3">
      <c r="A13614" s="9" t="str">
        <f>HYPERLINK("http://www.eatonpowersource.com/products/configure/motors/details/104-4808-006","104-4808-006")</f>
        <v>104-4808-006</v>
      </c>
      <c r="B13614" s="10" t="s">
        <v>13179</v>
      </c>
    </row>
    <row r="13615" spans="1:2" x14ac:dyDescent="0.3">
      <c r="A13615" s="7" t="str">
        <f>HYPERLINK("http://www.eatonpowersource.com/products/configure/motors/details/104-4815-006","104-4815-006")</f>
        <v>104-4815-006</v>
      </c>
      <c r="B13615" s="8" t="s">
        <v>13180</v>
      </c>
    </row>
    <row r="13616" spans="1:2" x14ac:dyDescent="0.3">
      <c r="A13616" s="9" t="str">
        <f>HYPERLINK("http://www.eatonpowersource.com/products/configure/motors/details/104-4816-006","104-4816-006")</f>
        <v>104-4816-006</v>
      </c>
      <c r="B13616" s="10" t="s">
        <v>13181</v>
      </c>
    </row>
    <row r="13617" spans="1:2" x14ac:dyDescent="0.3">
      <c r="A13617" s="7" t="str">
        <f>HYPERLINK("http://www.eatonpowersource.com/products/configure/motors/details/104-4819-006","104-4819-006")</f>
        <v>104-4819-006</v>
      </c>
      <c r="B13617" s="8" t="s">
        <v>13182</v>
      </c>
    </row>
    <row r="13618" spans="1:2" x14ac:dyDescent="0.3">
      <c r="A13618" s="9" t="str">
        <f>HYPERLINK("http://www.eatonpowersource.com/products/configure/motors/details/104-4832-006","104-4832-006")</f>
        <v>104-4832-006</v>
      </c>
      <c r="B13618" s="10" t="s">
        <v>13183</v>
      </c>
    </row>
    <row r="13619" spans="1:2" x14ac:dyDescent="0.3">
      <c r="A13619" s="7" t="str">
        <f>HYPERLINK("http://www.eatonpowersource.com/products/configure/motors/details/104-4860-006","104-4860-006")</f>
        <v>104-4860-006</v>
      </c>
      <c r="B13619" s="8" t="s">
        <v>13184</v>
      </c>
    </row>
    <row r="13620" spans="1:2" x14ac:dyDescent="0.3">
      <c r="A13620" s="9" t="str">
        <f>HYPERLINK("http://www.eatonpowersource.com/products/configure/motors/details/104-4861-006","104-4861-006")</f>
        <v>104-4861-006</v>
      </c>
      <c r="B13620" s="10" t="s">
        <v>13185</v>
      </c>
    </row>
    <row r="13621" spans="1:2" x14ac:dyDescent="0.3">
      <c r="A13621" s="7" t="str">
        <f>HYPERLINK("http://www.eatonpowersource.com/products/configure/motors/details/104-4874-006","104-4874-006")</f>
        <v>104-4874-006</v>
      </c>
      <c r="B13621" s="8" t="s">
        <v>13186</v>
      </c>
    </row>
    <row r="13622" spans="1:2" x14ac:dyDescent="0.3">
      <c r="A13622" s="9" t="str">
        <f>HYPERLINK("http://www.eatonpowersource.com/products/configure/motors/details/104-4881-006","104-4881-006")</f>
        <v>104-4881-006</v>
      </c>
      <c r="B13622" s="10" t="s">
        <v>13187</v>
      </c>
    </row>
    <row r="13623" spans="1:2" x14ac:dyDescent="0.3">
      <c r="A13623" s="7" t="str">
        <f>HYPERLINK("http://www.eatonpowersource.com/products/configure/motors/details/104-4893-006","104-4893-006")</f>
        <v>104-4893-006</v>
      </c>
      <c r="B13623" s="8" t="s">
        <v>13188</v>
      </c>
    </row>
    <row r="13624" spans="1:2" x14ac:dyDescent="0.3">
      <c r="A13624" s="9" t="str">
        <f>HYPERLINK("http://www.eatonpowersource.com/products/configure/motors/details/104-4904-006","104-4904-006")</f>
        <v>104-4904-006</v>
      </c>
      <c r="B13624" s="10" t="s">
        <v>13189</v>
      </c>
    </row>
    <row r="13625" spans="1:2" x14ac:dyDescent="0.3">
      <c r="A13625" s="7" t="str">
        <f>HYPERLINK("http://www.eatonpowersource.com/products/configure/motors/details/104-4906-006","104-4906-006")</f>
        <v>104-4906-006</v>
      </c>
      <c r="B13625" s="8" t="s">
        <v>13190</v>
      </c>
    </row>
    <row r="13626" spans="1:2" x14ac:dyDescent="0.3">
      <c r="A13626" s="9" t="str">
        <f>HYPERLINK("http://www.eatonpowersource.com/products/configure/motors/details/104-4946-006","104-4946-006")</f>
        <v>104-4946-006</v>
      </c>
      <c r="B13626" s="10" t="s">
        <v>13191</v>
      </c>
    </row>
    <row r="13627" spans="1:2" x14ac:dyDescent="0.3">
      <c r="A13627" s="7" t="str">
        <f>HYPERLINK("http://www.eatonpowersource.com/products/configure/motors/details/104-4947-006","104-4947-006")</f>
        <v>104-4947-006</v>
      </c>
      <c r="B13627" s="8" t="s">
        <v>13192</v>
      </c>
    </row>
    <row r="13628" spans="1:2" x14ac:dyDescent="0.3">
      <c r="A13628" s="9" t="str">
        <f>HYPERLINK("http://www.eatonpowersource.com/products/configure/motors/details/104-4948-006","104-4948-006")</f>
        <v>104-4948-006</v>
      </c>
      <c r="B13628" s="10" t="s">
        <v>13193</v>
      </c>
    </row>
    <row r="13629" spans="1:2" x14ac:dyDescent="0.3">
      <c r="A13629" s="7" t="str">
        <f>HYPERLINK("http://www.eatonpowersource.com/products/configure/motors/details/104-4949-006","104-4949-006")</f>
        <v>104-4949-006</v>
      </c>
      <c r="B13629" s="8" t="s">
        <v>13194</v>
      </c>
    </row>
    <row r="13630" spans="1:2" x14ac:dyDescent="0.3">
      <c r="A13630" s="9" t="str">
        <f>HYPERLINK("http://www.eatonpowersource.com/products/configure/motors/details/104-4950-006","104-4950-006")</f>
        <v>104-4950-006</v>
      </c>
      <c r="B13630" s="10" t="s">
        <v>13195</v>
      </c>
    </row>
    <row r="13631" spans="1:2" x14ac:dyDescent="0.3">
      <c r="A13631" s="7" t="str">
        <f>HYPERLINK("http://www.eatonpowersource.com/products/configure/motors/details/104-4954-006","104-4954-006")</f>
        <v>104-4954-006</v>
      </c>
      <c r="B13631" s="8" t="s">
        <v>13196</v>
      </c>
    </row>
    <row r="13632" spans="1:2" x14ac:dyDescent="0.3">
      <c r="A13632" s="9" t="str">
        <f>HYPERLINK("http://www.eatonpowersource.com/products/configure/motors/details/104-4961-006","104-4961-006")</f>
        <v>104-4961-006</v>
      </c>
      <c r="B13632" s="10" t="s">
        <v>13197</v>
      </c>
    </row>
    <row r="13633" spans="1:2" x14ac:dyDescent="0.3">
      <c r="A13633" s="7" t="str">
        <f>HYPERLINK("http://www.eatonpowersource.com/products/configure/motors/details/104-4971-006","104-4971-006")</f>
        <v>104-4971-006</v>
      </c>
      <c r="B13633" s="8" t="s">
        <v>13198</v>
      </c>
    </row>
    <row r="13634" spans="1:2" x14ac:dyDescent="0.3">
      <c r="A13634" s="9" t="str">
        <f>HYPERLINK("http://www.eatonpowersource.com/products/configure/motors/details/104-4972-006","104-4972-006")</f>
        <v>104-4972-006</v>
      </c>
      <c r="B13634" s="10" t="s">
        <v>13199</v>
      </c>
    </row>
    <row r="13635" spans="1:2" x14ac:dyDescent="0.3">
      <c r="A13635" s="7" t="str">
        <f>HYPERLINK("http://www.eatonpowersource.com/products/configure/motors/details/104-4976-006","104-4976-006")</f>
        <v>104-4976-006</v>
      </c>
      <c r="B13635" s="8" t="s">
        <v>13200</v>
      </c>
    </row>
    <row r="13636" spans="1:2" x14ac:dyDescent="0.3">
      <c r="A13636" s="9" t="str">
        <f>HYPERLINK("http://www.eatonpowersource.com/products/configure/motors/details/104-4978-006","104-4978-006")</f>
        <v>104-4978-006</v>
      </c>
      <c r="B13636" s="10" t="s">
        <v>13201</v>
      </c>
    </row>
    <row r="13637" spans="1:2" x14ac:dyDescent="0.3">
      <c r="A13637" s="7" t="str">
        <f>HYPERLINK("http://www.eatonpowersource.com/products/configure/motors/details/104-4988-006","104-4988-006")</f>
        <v>104-4988-006</v>
      </c>
      <c r="B13637" s="8" t="s">
        <v>13202</v>
      </c>
    </row>
    <row r="13638" spans="1:2" x14ac:dyDescent="0.3">
      <c r="A13638" s="9" t="str">
        <f>HYPERLINK("http://www.eatonpowersource.com/products/configure/motors/details/104-4989-006","104-4989-006")</f>
        <v>104-4989-006</v>
      </c>
      <c r="B13638" s="10" t="s">
        <v>13203</v>
      </c>
    </row>
    <row r="13639" spans="1:2" x14ac:dyDescent="0.3">
      <c r="A13639" s="7" t="str">
        <f>HYPERLINK("http://www.eatonpowersource.com/products/configure/motors/details/104-5013-006","104-5013-006")</f>
        <v>104-5013-006</v>
      </c>
      <c r="B13639" s="8" t="s">
        <v>13204</v>
      </c>
    </row>
    <row r="13640" spans="1:2" x14ac:dyDescent="0.3">
      <c r="A13640" s="9" t="str">
        <f>HYPERLINK("http://www.eatonpowersource.com/products/configure/motors/details/104-5014-006","104-5014-006")</f>
        <v>104-5014-006</v>
      </c>
      <c r="B13640" s="10" t="s">
        <v>13205</v>
      </c>
    </row>
    <row r="13641" spans="1:2" x14ac:dyDescent="0.3">
      <c r="A13641" s="7" t="str">
        <f>HYPERLINK("http://www.eatonpowersource.com/products/configure/motors/details/104-5024-006","104-5024-006")</f>
        <v>104-5024-006</v>
      </c>
      <c r="B13641" s="8" t="s">
        <v>13206</v>
      </c>
    </row>
    <row r="13642" spans="1:2" x14ac:dyDescent="0.3">
      <c r="A13642" s="9" t="str">
        <f>HYPERLINK("http://www.eatonpowersource.com/products/configure/motors/details/105-1001-006","105-1001-006")</f>
        <v>105-1001-006</v>
      </c>
      <c r="B13642" s="10" t="s">
        <v>13207</v>
      </c>
    </row>
    <row r="13643" spans="1:2" x14ac:dyDescent="0.3">
      <c r="A13643" s="7" t="str">
        <f>HYPERLINK("http://www.eatonpowersource.com/products/configure/motors/details/105-1002-006","105-1002-006")</f>
        <v>105-1002-006</v>
      </c>
      <c r="B13643" s="8" t="s">
        <v>13208</v>
      </c>
    </row>
    <row r="13644" spans="1:2" x14ac:dyDescent="0.3">
      <c r="A13644" s="9" t="str">
        <f>HYPERLINK("http://www.eatonpowersource.com/products/configure/motors/details/105-1003-006","105-1003-006")</f>
        <v>105-1003-006</v>
      </c>
      <c r="B13644" s="10" t="s">
        <v>13209</v>
      </c>
    </row>
    <row r="13645" spans="1:2" x14ac:dyDescent="0.3">
      <c r="A13645" s="7" t="str">
        <f>HYPERLINK("http://www.eatonpowersource.com/products/configure/motors/details/105-1004-006","105-1004-006")</f>
        <v>105-1004-006</v>
      </c>
      <c r="B13645" s="8" t="s">
        <v>13210</v>
      </c>
    </row>
    <row r="13646" spans="1:2" x14ac:dyDescent="0.3">
      <c r="A13646" s="9" t="str">
        <f>HYPERLINK("http://www.eatonpowersource.com/products/configure/motors/details/105-1005-006","105-1005-006")</f>
        <v>105-1005-006</v>
      </c>
      <c r="B13646" s="10" t="s">
        <v>13211</v>
      </c>
    </row>
    <row r="13647" spans="1:2" x14ac:dyDescent="0.3">
      <c r="A13647" s="7" t="str">
        <f>HYPERLINK("http://www.eatonpowersource.com/products/configure/motors/details/105-1006-006","105-1006-006")</f>
        <v>105-1006-006</v>
      </c>
      <c r="B13647" s="8" t="s">
        <v>13212</v>
      </c>
    </row>
    <row r="13648" spans="1:2" x14ac:dyDescent="0.3">
      <c r="A13648" s="9" t="str">
        <f>HYPERLINK("http://www.eatonpowersource.com/products/configure/motors/details/105-1007-006","105-1007-006")</f>
        <v>105-1007-006</v>
      </c>
      <c r="B13648" s="10" t="s">
        <v>13213</v>
      </c>
    </row>
    <row r="13649" spans="1:2" x14ac:dyDescent="0.3">
      <c r="A13649" s="7" t="str">
        <f>HYPERLINK("http://www.eatonpowersource.com/products/configure/motors/details/105-1015-006","105-1015-006")</f>
        <v>105-1015-006</v>
      </c>
      <c r="B13649" s="8" t="s">
        <v>13214</v>
      </c>
    </row>
    <row r="13650" spans="1:2" x14ac:dyDescent="0.3">
      <c r="A13650" s="9" t="str">
        <f>HYPERLINK("http://www.eatonpowersource.com/products/configure/motors/details/105-1023-006","105-1023-006")</f>
        <v>105-1023-006</v>
      </c>
      <c r="B13650" s="10" t="s">
        <v>13215</v>
      </c>
    </row>
    <row r="13651" spans="1:2" x14ac:dyDescent="0.3">
      <c r="A13651" s="7" t="str">
        <f>HYPERLINK("http://www.eatonpowersource.com/products/configure/motors/details/105-1025-006","105-1025-006")</f>
        <v>105-1025-006</v>
      </c>
      <c r="B13651" s="8" t="s">
        <v>13216</v>
      </c>
    </row>
    <row r="13652" spans="1:2" x14ac:dyDescent="0.3">
      <c r="A13652" s="9" t="str">
        <f>HYPERLINK("http://www.eatonpowersource.com/products/configure/motors/details/105-1026-006","105-1026-006")</f>
        <v>105-1026-006</v>
      </c>
      <c r="B13652" s="10" t="s">
        <v>13217</v>
      </c>
    </row>
    <row r="13653" spans="1:2" x14ac:dyDescent="0.3">
      <c r="A13653" s="7" t="str">
        <f>HYPERLINK("http://www.eatonpowersource.com/products/configure/motors/details/105-1027-006","105-1027-006")</f>
        <v>105-1027-006</v>
      </c>
      <c r="B13653" s="8" t="s">
        <v>13218</v>
      </c>
    </row>
    <row r="13654" spans="1:2" x14ac:dyDescent="0.3">
      <c r="A13654" s="9" t="str">
        <f>HYPERLINK("http://www.eatonpowersource.com/products/configure/motors/details/105-1028-006","105-1028-006")</f>
        <v>105-1028-006</v>
      </c>
      <c r="B13654" s="10" t="s">
        <v>13219</v>
      </c>
    </row>
    <row r="13655" spans="1:2" x14ac:dyDescent="0.3">
      <c r="A13655" s="7" t="str">
        <f>HYPERLINK("http://www.eatonpowersource.com/products/configure/motors/details/105-1031-006","105-1031-006")</f>
        <v>105-1031-006</v>
      </c>
      <c r="B13655" s="8" t="s">
        <v>13220</v>
      </c>
    </row>
    <row r="13656" spans="1:2" x14ac:dyDescent="0.3">
      <c r="A13656" s="9" t="str">
        <f>HYPERLINK("http://www.eatonpowersource.com/products/configure/motors/details/105-1032-006","105-1032-006")</f>
        <v>105-1032-006</v>
      </c>
      <c r="B13656" s="10" t="s">
        <v>13221</v>
      </c>
    </row>
    <row r="13657" spans="1:2" x14ac:dyDescent="0.3">
      <c r="A13657" s="7" t="str">
        <f>HYPERLINK("http://www.eatonpowersource.com/products/configure/motors/details/105-1033-006","105-1033-006")</f>
        <v>105-1033-006</v>
      </c>
      <c r="B13657" s="8" t="s">
        <v>13222</v>
      </c>
    </row>
    <row r="13658" spans="1:2" x14ac:dyDescent="0.3">
      <c r="A13658" s="9" t="str">
        <f>HYPERLINK("http://www.eatonpowersource.com/products/configure/motors/details/105-1035-006","105-1035-006")</f>
        <v>105-1035-006</v>
      </c>
      <c r="B13658" s="10" t="s">
        <v>13223</v>
      </c>
    </row>
    <row r="13659" spans="1:2" x14ac:dyDescent="0.3">
      <c r="A13659" s="7" t="str">
        <f>HYPERLINK("http://www.eatonpowersource.com/products/configure/motors/details/105-1052-006","105-1052-006")</f>
        <v>105-1052-006</v>
      </c>
      <c r="B13659" s="8" t="s">
        <v>13224</v>
      </c>
    </row>
    <row r="13660" spans="1:2" x14ac:dyDescent="0.3">
      <c r="A13660" s="9" t="str">
        <f>HYPERLINK("http://www.eatonpowersource.com/products/configure/motors/details/105-1060-006","105-1060-006")</f>
        <v>105-1060-006</v>
      </c>
      <c r="B13660" s="10" t="s">
        <v>13225</v>
      </c>
    </row>
    <row r="13661" spans="1:2" x14ac:dyDescent="0.3">
      <c r="A13661" s="7" t="str">
        <f>HYPERLINK("http://www.eatonpowersource.com/products/configure/motors/details/105-1063-006","105-1063-006")</f>
        <v>105-1063-006</v>
      </c>
      <c r="B13661" s="8" t="s">
        <v>13226</v>
      </c>
    </row>
    <row r="13662" spans="1:2" x14ac:dyDescent="0.3">
      <c r="A13662" s="9" t="str">
        <f>HYPERLINK("http://www.eatonpowersource.com/products/configure/motors/details/105-1071-006","105-1071-006")</f>
        <v>105-1071-006</v>
      </c>
      <c r="B13662" s="10" t="s">
        <v>13227</v>
      </c>
    </row>
    <row r="13663" spans="1:2" x14ac:dyDescent="0.3">
      <c r="A13663" s="7" t="str">
        <f>HYPERLINK("http://www.eatonpowersource.com/products/configure/motors/details/105-1076-006","105-1076-006")</f>
        <v>105-1076-006</v>
      </c>
      <c r="B13663" s="8" t="s">
        <v>13228</v>
      </c>
    </row>
    <row r="13664" spans="1:2" x14ac:dyDescent="0.3">
      <c r="A13664" s="9" t="str">
        <f>HYPERLINK("http://www.eatonpowersource.com/products/configure/motors/details/105-1078-006","105-1078-006")</f>
        <v>105-1078-006</v>
      </c>
      <c r="B13664" s="10" t="s">
        <v>13229</v>
      </c>
    </row>
    <row r="13665" spans="1:2" x14ac:dyDescent="0.3">
      <c r="A13665" s="7" t="str">
        <f>HYPERLINK("http://www.eatonpowersource.com/products/configure/motors/details/105-1082-006","105-1082-006")</f>
        <v>105-1082-006</v>
      </c>
      <c r="B13665" s="8" t="s">
        <v>13230</v>
      </c>
    </row>
    <row r="13666" spans="1:2" x14ac:dyDescent="0.3">
      <c r="A13666" s="9" t="str">
        <f>HYPERLINK("http://www.eatonpowersource.com/products/configure/motors/details/105-1084-006","105-1084-006")</f>
        <v>105-1084-006</v>
      </c>
      <c r="B13666" s="10" t="s">
        <v>13231</v>
      </c>
    </row>
    <row r="13667" spans="1:2" x14ac:dyDescent="0.3">
      <c r="A13667" s="7" t="str">
        <f>HYPERLINK("http://www.eatonpowersource.com/products/configure/motors/details/105-1085-006","105-1085-006")</f>
        <v>105-1085-006</v>
      </c>
      <c r="B13667" s="8" t="s">
        <v>13232</v>
      </c>
    </row>
    <row r="13668" spans="1:2" x14ac:dyDescent="0.3">
      <c r="A13668" s="9" t="str">
        <f>HYPERLINK("http://www.eatonpowersource.com/products/configure/motors/details/105-1086-006","105-1086-006")</f>
        <v>105-1086-006</v>
      </c>
      <c r="B13668" s="10" t="s">
        <v>13233</v>
      </c>
    </row>
    <row r="13669" spans="1:2" x14ac:dyDescent="0.3">
      <c r="A13669" s="7" t="str">
        <f>HYPERLINK("http://www.eatonpowersource.com/products/configure/motors/details/105-1096-006","105-1096-006")</f>
        <v>105-1096-006</v>
      </c>
      <c r="B13669" s="8" t="s">
        <v>13234</v>
      </c>
    </row>
    <row r="13670" spans="1:2" x14ac:dyDescent="0.3">
      <c r="A13670" s="9" t="str">
        <f>HYPERLINK("http://www.eatonpowersource.com/products/configure/motors/details/105-1102-006","105-1102-006")</f>
        <v>105-1102-006</v>
      </c>
      <c r="B13670" s="10" t="s">
        <v>13235</v>
      </c>
    </row>
    <row r="13671" spans="1:2" x14ac:dyDescent="0.3">
      <c r="A13671" s="7" t="str">
        <f>HYPERLINK("http://www.eatonpowersource.com/products/configure/motors/details/105-1110-006","105-1110-006")</f>
        <v>105-1110-006</v>
      </c>
      <c r="B13671" s="8" t="s">
        <v>13236</v>
      </c>
    </row>
    <row r="13672" spans="1:2" x14ac:dyDescent="0.3">
      <c r="A13672" s="9" t="str">
        <f>HYPERLINK("http://www.eatonpowersource.com/products/configure/motors/details/105-1111-006","105-1111-006")</f>
        <v>105-1111-006</v>
      </c>
      <c r="B13672" s="10" t="s">
        <v>13237</v>
      </c>
    </row>
    <row r="13673" spans="1:2" x14ac:dyDescent="0.3">
      <c r="A13673" s="7" t="str">
        <f>HYPERLINK("http://www.eatonpowersource.com/products/configure/motors/details/105-1121-006","105-1121-006")</f>
        <v>105-1121-006</v>
      </c>
      <c r="B13673" s="8" t="s">
        <v>13238</v>
      </c>
    </row>
    <row r="13674" spans="1:2" x14ac:dyDescent="0.3">
      <c r="A13674" s="9" t="str">
        <f>HYPERLINK("http://www.eatonpowersource.com/products/configure/motors/details/105-1134-006","105-1134-006")</f>
        <v>105-1134-006</v>
      </c>
      <c r="B13674" s="10" t="s">
        <v>13239</v>
      </c>
    </row>
    <row r="13675" spans="1:2" x14ac:dyDescent="0.3">
      <c r="A13675" s="7" t="str">
        <f>HYPERLINK("http://www.eatonpowersource.com/products/configure/motors/details/105-1135-006","105-1135-006")</f>
        <v>105-1135-006</v>
      </c>
      <c r="B13675" s="8" t="s">
        <v>13240</v>
      </c>
    </row>
    <row r="13676" spans="1:2" x14ac:dyDescent="0.3">
      <c r="A13676" s="9" t="str">
        <f>HYPERLINK("http://www.eatonpowersource.com/products/configure/motors/details/105-1136-006","105-1136-006")</f>
        <v>105-1136-006</v>
      </c>
      <c r="B13676" s="10" t="s">
        <v>13241</v>
      </c>
    </row>
    <row r="13677" spans="1:2" x14ac:dyDescent="0.3">
      <c r="A13677" s="7" t="str">
        <f>HYPERLINK("http://www.eatonpowersource.com/products/configure/motors/details/105-1137-006","105-1137-006")</f>
        <v>105-1137-006</v>
      </c>
      <c r="B13677" s="8" t="s">
        <v>13242</v>
      </c>
    </row>
    <row r="13678" spans="1:2" x14ac:dyDescent="0.3">
      <c r="A13678" s="9" t="str">
        <f>HYPERLINK("http://www.eatonpowersource.com/products/configure/motors/details/105-1138-006","105-1138-006")</f>
        <v>105-1138-006</v>
      </c>
      <c r="B13678" s="10" t="s">
        <v>13243</v>
      </c>
    </row>
    <row r="13679" spans="1:2" x14ac:dyDescent="0.3">
      <c r="A13679" s="7" t="str">
        <f>HYPERLINK("http://www.eatonpowersource.com/products/configure/motors/details/105-1139-006","105-1139-006")</f>
        <v>105-1139-006</v>
      </c>
      <c r="B13679" s="8" t="s">
        <v>13244</v>
      </c>
    </row>
    <row r="13680" spans="1:2" x14ac:dyDescent="0.3">
      <c r="A13680" s="9" t="str">
        <f>HYPERLINK("http://www.eatonpowersource.com/products/configure/motors/details/105-1140-006","105-1140-006")</f>
        <v>105-1140-006</v>
      </c>
      <c r="B13680" s="10" t="s">
        <v>13245</v>
      </c>
    </row>
    <row r="13681" spans="1:2" x14ac:dyDescent="0.3">
      <c r="A13681" s="7" t="str">
        <f>HYPERLINK("http://www.eatonpowersource.com/products/configure/motors/details/105-1141-006","105-1141-006")</f>
        <v>105-1141-006</v>
      </c>
      <c r="B13681" s="8" t="s">
        <v>13246</v>
      </c>
    </row>
    <row r="13682" spans="1:2" x14ac:dyDescent="0.3">
      <c r="A13682" s="9" t="str">
        <f>HYPERLINK("http://www.eatonpowersource.com/products/configure/motors/details/105-1145-006","105-1145-006")</f>
        <v>105-1145-006</v>
      </c>
      <c r="B13682" s="10" t="s">
        <v>13247</v>
      </c>
    </row>
    <row r="13683" spans="1:2" x14ac:dyDescent="0.3">
      <c r="A13683" s="7" t="str">
        <f>HYPERLINK("http://www.eatonpowersource.com/products/configure/motors/details/105-1148-006","105-1148-006")</f>
        <v>105-1148-006</v>
      </c>
      <c r="B13683" s="8" t="s">
        <v>13248</v>
      </c>
    </row>
    <row r="13684" spans="1:2" x14ac:dyDescent="0.3">
      <c r="A13684" s="9" t="str">
        <f>HYPERLINK("http://www.eatonpowersource.com/products/configure/motors/details/105-1152-006","105-1152-006")</f>
        <v>105-1152-006</v>
      </c>
      <c r="B13684" s="10" t="s">
        <v>13249</v>
      </c>
    </row>
    <row r="13685" spans="1:2" x14ac:dyDescent="0.3">
      <c r="A13685" s="7" t="str">
        <f>HYPERLINK("http://www.eatonpowersource.com/products/configure/motors/details/105-1157-006","105-1157-006")</f>
        <v>105-1157-006</v>
      </c>
      <c r="B13685" s="8" t="s">
        <v>13250</v>
      </c>
    </row>
    <row r="13686" spans="1:2" x14ac:dyDescent="0.3">
      <c r="A13686" s="9" t="str">
        <f>HYPERLINK("http://www.eatonpowersource.com/products/configure/motors/details/105-1158-006","105-1158-006")</f>
        <v>105-1158-006</v>
      </c>
      <c r="B13686" s="10" t="s">
        <v>13251</v>
      </c>
    </row>
    <row r="13687" spans="1:2" x14ac:dyDescent="0.3">
      <c r="A13687" s="7" t="str">
        <f>HYPERLINK("http://www.eatonpowersource.com/products/configure/motors/details/105-1161-006","105-1161-006")</f>
        <v>105-1161-006</v>
      </c>
      <c r="B13687" s="8" t="s">
        <v>13252</v>
      </c>
    </row>
    <row r="13688" spans="1:2" x14ac:dyDescent="0.3">
      <c r="A13688" s="9" t="str">
        <f>HYPERLINK("http://www.eatonpowersource.com/products/configure/motors/details/105-1162-006","105-1162-006")</f>
        <v>105-1162-006</v>
      </c>
      <c r="B13688" s="10" t="s">
        <v>13253</v>
      </c>
    </row>
    <row r="13689" spans="1:2" x14ac:dyDescent="0.3">
      <c r="A13689" s="7" t="str">
        <f>HYPERLINK("http://www.eatonpowersource.com/products/configure/motors/details/105-1163-006","105-1163-006")</f>
        <v>105-1163-006</v>
      </c>
      <c r="B13689" s="8" t="s">
        <v>13254</v>
      </c>
    </row>
    <row r="13690" spans="1:2" x14ac:dyDescent="0.3">
      <c r="A13690" s="9" t="str">
        <f>HYPERLINK("http://www.eatonpowersource.com/products/configure/motors/details/105-1168-006","105-1168-006")</f>
        <v>105-1168-006</v>
      </c>
      <c r="B13690" s="10" t="s">
        <v>13255</v>
      </c>
    </row>
    <row r="13691" spans="1:2" x14ac:dyDescent="0.3">
      <c r="A13691" s="7" t="str">
        <f>HYPERLINK("http://www.eatonpowersource.com/products/configure/motors/details/105-1169-006","105-1169-006")</f>
        <v>105-1169-006</v>
      </c>
      <c r="B13691" s="8" t="s">
        <v>13256</v>
      </c>
    </row>
    <row r="13692" spans="1:2" x14ac:dyDescent="0.3">
      <c r="A13692" s="9" t="str">
        <f>HYPERLINK("http://www.eatonpowersource.com/products/configure/motors/details/105-1171-006","105-1171-006")</f>
        <v>105-1171-006</v>
      </c>
      <c r="B13692" s="10" t="s">
        <v>13257</v>
      </c>
    </row>
    <row r="13693" spans="1:2" x14ac:dyDescent="0.3">
      <c r="A13693" s="7" t="str">
        <f>HYPERLINK("http://www.eatonpowersource.com/products/configure/motors/details/105-1175-006","105-1175-006")</f>
        <v>105-1175-006</v>
      </c>
      <c r="B13693" s="8" t="s">
        <v>13258</v>
      </c>
    </row>
    <row r="13694" spans="1:2" x14ac:dyDescent="0.3">
      <c r="A13694" s="9" t="str">
        <f>HYPERLINK("http://www.eatonpowersource.com/products/configure/motors/details/105-1176-006","105-1176-006")</f>
        <v>105-1176-006</v>
      </c>
      <c r="B13694" s="10" t="s">
        <v>13259</v>
      </c>
    </row>
    <row r="13695" spans="1:2" x14ac:dyDescent="0.3">
      <c r="A13695" s="7" t="str">
        <f>HYPERLINK("http://www.eatonpowersource.com/products/configure/motors/details/105-1177-006","105-1177-006")</f>
        <v>105-1177-006</v>
      </c>
      <c r="B13695" s="8" t="s">
        <v>13260</v>
      </c>
    </row>
    <row r="13696" spans="1:2" x14ac:dyDescent="0.3">
      <c r="A13696" s="9" t="str">
        <f>HYPERLINK("http://www.eatonpowersource.com/products/configure/motors/details/105-1183-006","105-1183-006")</f>
        <v>105-1183-006</v>
      </c>
      <c r="B13696" s="10" t="s">
        <v>13261</v>
      </c>
    </row>
    <row r="13697" spans="1:2" x14ac:dyDescent="0.3">
      <c r="A13697" s="7" t="str">
        <f>HYPERLINK("http://www.eatonpowersource.com/products/configure/motors/details/105-1186-006","105-1186-006")</f>
        <v>105-1186-006</v>
      </c>
      <c r="B13697" s="8" t="s">
        <v>13262</v>
      </c>
    </row>
    <row r="13698" spans="1:2" x14ac:dyDescent="0.3">
      <c r="A13698" s="9" t="str">
        <f>HYPERLINK("http://www.eatonpowersource.com/products/configure/motors/details/105-1196-006","105-1196-006")</f>
        <v>105-1196-006</v>
      </c>
      <c r="B13698" s="10" t="s">
        <v>13263</v>
      </c>
    </row>
    <row r="13699" spans="1:2" x14ac:dyDescent="0.3">
      <c r="A13699" s="7" t="str">
        <f>HYPERLINK("http://www.eatonpowersource.com/products/configure/motors/details/105-1225-006","105-1225-006")</f>
        <v>105-1225-006</v>
      </c>
      <c r="B13699" s="8" t="s">
        <v>13264</v>
      </c>
    </row>
    <row r="13700" spans="1:2" x14ac:dyDescent="0.3">
      <c r="A13700" s="9" t="str">
        <f>HYPERLINK("http://www.eatonpowersource.com/products/configure/motors/details/105-1229-006","105-1229-006")</f>
        <v>105-1229-006</v>
      </c>
      <c r="B13700" s="10" t="s">
        <v>13265</v>
      </c>
    </row>
    <row r="13701" spans="1:2" x14ac:dyDescent="0.3">
      <c r="A13701" s="7" t="str">
        <f>HYPERLINK("http://www.eatonpowersource.com/products/configure/motors/details/105-1231-006","105-1231-006")</f>
        <v>105-1231-006</v>
      </c>
      <c r="B13701" s="8" t="s">
        <v>13266</v>
      </c>
    </row>
    <row r="13702" spans="1:2" x14ac:dyDescent="0.3">
      <c r="A13702" s="9" t="str">
        <f>HYPERLINK("http://www.eatonpowersource.com/products/configure/motors/details/105-1235-006","105-1235-006")</f>
        <v>105-1235-006</v>
      </c>
      <c r="B13702" s="10" t="s">
        <v>13267</v>
      </c>
    </row>
    <row r="13703" spans="1:2" x14ac:dyDescent="0.3">
      <c r="A13703" s="7" t="str">
        <f>HYPERLINK("http://www.eatonpowersource.com/products/configure/motors/details/105-1236-006","105-1236-006")</f>
        <v>105-1236-006</v>
      </c>
      <c r="B13703" s="8" t="s">
        <v>13268</v>
      </c>
    </row>
    <row r="13704" spans="1:2" x14ac:dyDescent="0.3">
      <c r="A13704" s="9" t="str">
        <f>HYPERLINK("http://www.eatonpowersource.com/products/configure/motors/details/105-1240-006","105-1240-006")</f>
        <v>105-1240-006</v>
      </c>
      <c r="B13704" s="10" t="s">
        <v>13269</v>
      </c>
    </row>
    <row r="13705" spans="1:2" x14ac:dyDescent="0.3">
      <c r="A13705" s="7" t="str">
        <f>HYPERLINK("http://www.eatonpowersource.com/products/configure/motors/details/105-1243-006","105-1243-006")</f>
        <v>105-1243-006</v>
      </c>
      <c r="B13705" s="8" t="s">
        <v>13270</v>
      </c>
    </row>
    <row r="13706" spans="1:2" x14ac:dyDescent="0.3">
      <c r="A13706" s="9" t="str">
        <f>HYPERLINK("http://www.eatonpowersource.com/products/configure/motors/details/105-1246-006","105-1246-006")</f>
        <v>105-1246-006</v>
      </c>
      <c r="B13706" s="10" t="s">
        <v>13271</v>
      </c>
    </row>
    <row r="13707" spans="1:2" x14ac:dyDescent="0.3">
      <c r="A13707" s="7" t="str">
        <f>HYPERLINK("http://www.eatonpowersource.com/products/configure/motors/details/105-1247-006","105-1247-006")</f>
        <v>105-1247-006</v>
      </c>
      <c r="B13707" s="8" t="s">
        <v>13272</v>
      </c>
    </row>
    <row r="13708" spans="1:2" x14ac:dyDescent="0.3">
      <c r="A13708" s="9" t="str">
        <f>HYPERLINK("http://www.eatonpowersource.com/products/configure/motors/details/105-1252-006","105-1252-006")</f>
        <v>105-1252-006</v>
      </c>
      <c r="B13708" s="10" t="s">
        <v>13273</v>
      </c>
    </row>
    <row r="13709" spans="1:2" x14ac:dyDescent="0.3">
      <c r="A13709" s="7" t="str">
        <f>HYPERLINK("http://www.eatonpowersource.com/products/configure/motors/details/105-1253-006","105-1253-006")</f>
        <v>105-1253-006</v>
      </c>
      <c r="B13709" s="8" t="s">
        <v>13274</v>
      </c>
    </row>
    <row r="13710" spans="1:2" x14ac:dyDescent="0.3">
      <c r="A13710" s="9" t="str">
        <f>HYPERLINK("http://www.eatonpowersource.com/products/configure/motors/details/105-1257-006","105-1257-006")</f>
        <v>105-1257-006</v>
      </c>
      <c r="B13710" s="10" t="s">
        <v>13275</v>
      </c>
    </row>
    <row r="13711" spans="1:2" x14ac:dyDescent="0.3">
      <c r="A13711" s="7" t="str">
        <f>HYPERLINK("http://www.eatonpowersource.com/products/configure/motors/details/105-1271-006","105-1271-006")</f>
        <v>105-1271-006</v>
      </c>
      <c r="B13711" s="8" t="s">
        <v>13276</v>
      </c>
    </row>
    <row r="13712" spans="1:2" x14ac:dyDescent="0.3">
      <c r="A13712" s="9" t="str">
        <f>HYPERLINK("http://www.eatonpowersource.com/products/configure/motors/details/105-1272-006","105-1272-006")</f>
        <v>105-1272-006</v>
      </c>
      <c r="B13712" s="10" t="s">
        <v>13277</v>
      </c>
    </row>
    <row r="13713" spans="1:2" x14ac:dyDescent="0.3">
      <c r="A13713" s="7" t="str">
        <f>HYPERLINK("http://www.eatonpowersource.com/products/configure/motors/details/105-1273-006","105-1273-006")</f>
        <v>105-1273-006</v>
      </c>
      <c r="B13713" s="8" t="s">
        <v>13278</v>
      </c>
    </row>
    <row r="13714" spans="1:2" x14ac:dyDescent="0.3">
      <c r="A13714" s="9" t="str">
        <f>HYPERLINK("http://www.eatonpowersource.com/products/configure/motors/details/105-1284-006","105-1284-006")</f>
        <v>105-1284-006</v>
      </c>
      <c r="B13714" s="10" t="s">
        <v>13279</v>
      </c>
    </row>
    <row r="13715" spans="1:2" x14ac:dyDescent="0.3">
      <c r="A13715" s="7" t="str">
        <f>HYPERLINK("http://www.eatonpowersource.com/products/configure/motors/details/105-1302-006","105-1302-006")</f>
        <v>105-1302-006</v>
      </c>
      <c r="B13715" s="8" t="s">
        <v>13280</v>
      </c>
    </row>
    <row r="13716" spans="1:2" x14ac:dyDescent="0.3">
      <c r="A13716" s="9" t="str">
        <f>HYPERLINK("http://www.eatonpowersource.com/products/configure/motors/details/105-1312-006","105-1312-006")</f>
        <v>105-1312-006</v>
      </c>
      <c r="B13716" s="10" t="s">
        <v>13281</v>
      </c>
    </row>
    <row r="13717" spans="1:2" x14ac:dyDescent="0.3">
      <c r="A13717" s="7" t="str">
        <f>HYPERLINK("http://www.eatonpowersource.com/products/configure/motors/details/105-1313-006","105-1313-006")</f>
        <v>105-1313-006</v>
      </c>
      <c r="B13717" s="8" t="s">
        <v>13282</v>
      </c>
    </row>
    <row r="13718" spans="1:2" x14ac:dyDescent="0.3">
      <c r="A13718" s="9" t="str">
        <f>HYPERLINK("http://www.eatonpowersource.com/products/configure/motors/details/105-1322-006","105-1322-006")</f>
        <v>105-1322-006</v>
      </c>
      <c r="B13718" s="10" t="s">
        <v>13283</v>
      </c>
    </row>
    <row r="13719" spans="1:2" x14ac:dyDescent="0.3">
      <c r="A13719" s="7" t="str">
        <f>HYPERLINK("http://www.eatonpowersource.com/products/configure/motors/details/105-1324-006","105-1324-006")</f>
        <v>105-1324-006</v>
      </c>
      <c r="B13719" s="8" t="s">
        <v>13284</v>
      </c>
    </row>
    <row r="13720" spans="1:2" x14ac:dyDescent="0.3">
      <c r="A13720" s="9" t="str">
        <f>HYPERLINK("http://www.eatonpowersource.com/products/configure/motors/details/105-1326-006","105-1326-006")</f>
        <v>105-1326-006</v>
      </c>
      <c r="B13720" s="10" t="s">
        <v>13285</v>
      </c>
    </row>
    <row r="13721" spans="1:2" x14ac:dyDescent="0.3">
      <c r="A13721" s="7" t="str">
        <f>HYPERLINK("http://www.eatonpowersource.com/products/configure/motors/details/105-1337-006","105-1337-006")</f>
        <v>105-1337-006</v>
      </c>
      <c r="B13721" s="8" t="s">
        <v>13286</v>
      </c>
    </row>
    <row r="13722" spans="1:2" x14ac:dyDescent="0.3">
      <c r="A13722" s="9" t="str">
        <f>HYPERLINK("http://www.eatonpowersource.com/products/configure/motors/details/105-1339-006","105-1339-006")</f>
        <v>105-1339-006</v>
      </c>
      <c r="B13722" s="10" t="s">
        <v>13287</v>
      </c>
    </row>
    <row r="13723" spans="1:2" x14ac:dyDescent="0.3">
      <c r="A13723" s="7" t="str">
        <f>HYPERLINK("http://www.eatonpowersource.com/products/configure/motors/details/105-1350-006","105-1350-006")</f>
        <v>105-1350-006</v>
      </c>
      <c r="B13723" s="8" t="s">
        <v>13288</v>
      </c>
    </row>
    <row r="13724" spans="1:2" x14ac:dyDescent="0.3">
      <c r="A13724" s="9" t="str">
        <f>HYPERLINK("http://www.eatonpowersource.com/products/configure/motors/details/105-1360-006","105-1360-006")</f>
        <v>105-1360-006</v>
      </c>
      <c r="B13724" s="10" t="s">
        <v>13289</v>
      </c>
    </row>
    <row r="13725" spans="1:2" x14ac:dyDescent="0.3">
      <c r="A13725" s="7" t="str">
        <f>HYPERLINK("http://www.eatonpowersource.com/products/configure/motors/details/105-1361-006","105-1361-006")</f>
        <v>105-1361-006</v>
      </c>
      <c r="B13725" s="8" t="s">
        <v>13290</v>
      </c>
    </row>
    <row r="13726" spans="1:2" x14ac:dyDescent="0.3">
      <c r="A13726" s="9" t="str">
        <f>HYPERLINK("http://www.eatonpowersource.com/products/configure/motors/details/105-1365-006","105-1365-006")</f>
        <v>105-1365-006</v>
      </c>
      <c r="B13726" s="10" t="s">
        <v>13291</v>
      </c>
    </row>
    <row r="13727" spans="1:2" x14ac:dyDescent="0.3">
      <c r="A13727" s="7" t="str">
        <f>HYPERLINK("http://www.eatonpowersource.com/products/configure/motors/details/105-1366-006","105-1366-006")</f>
        <v>105-1366-006</v>
      </c>
      <c r="B13727" s="8" t="s">
        <v>13292</v>
      </c>
    </row>
    <row r="13728" spans="1:2" x14ac:dyDescent="0.3">
      <c r="A13728" s="9" t="str">
        <f>HYPERLINK("http://www.eatonpowersource.com/products/configure/motors/details/105-1372-006","105-1372-006")</f>
        <v>105-1372-006</v>
      </c>
      <c r="B13728" s="10" t="s">
        <v>13293</v>
      </c>
    </row>
    <row r="13729" spans="1:2" x14ac:dyDescent="0.3">
      <c r="A13729" s="7" t="str">
        <f>HYPERLINK("http://www.eatonpowersource.com/products/configure/motors/details/105-1375-006","105-1375-006")</f>
        <v>105-1375-006</v>
      </c>
      <c r="B13729" s="8" t="s">
        <v>13294</v>
      </c>
    </row>
    <row r="13730" spans="1:2" x14ac:dyDescent="0.3">
      <c r="A13730" s="9" t="str">
        <f>HYPERLINK("http://www.eatonpowersource.com/products/configure/motors/details/105-1376-006","105-1376-006")</f>
        <v>105-1376-006</v>
      </c>
      <c r="B13730" s="10" t="s">
        <v>13295</v>
      </c>
    </row>
    <row r="13731" spans="1:2" x14ac:dyDescent="0.3">
      <c r="A13731" s="7" t="str">
        <f>HYPERLINK("http://www.eatonpowersource.com/products/configure/motors/details/105-1378-006","105-1378-006")</f>
        <v>105-1378-006</v>
      </c>
      <c r="B13731" s="8" t="s">
        <v>13296</v>
      </c>
    </row>
    <row r="13732" spans="1:2" x14ac:dyDescent="0.3">
      <c r="A13732" s="9" t="str">
        <f>HYPERLINK("http://www.eatonpowersource.com/products/configure/motors/details/105-1379-006","105-1379-006")</f>
        <v>105-1379-006</v>
      </c>
      <c r="B13732" s="10" t="s">
        <v>13297</v>
      </c>
    </row>
    <row r="13733" spans="1:2" x14ac:dyDescent="0.3">
      <c r="A13733" s="7" t="str">
        <f>HYPERLINK("http://www.eatonpowersource.com/products/configure/motors/details/105-1382-006","105-1382-006")</f>
        <v>105-1382-006</v>
      </c>
      <c r="B13733" s="8" t="s">
        <v>13298</v>
      </c>
    </row>
    <row r="13734" spans="1:2" x14ac:dyDescent="0.3">
      <c r="A13734" s="9" t="str">
        <f>HYPERLINK("http://www.eatonpowersource.com/products/configure/motors/details/105-1386-006","105-1386-006")</f>
        <v>105-1386-006</v>
      </c>
      <c r="B13734" s="10" t="s">
        <v>13299</v>
      </c>
    </row>
    <row r="13735" spans="1:2" x14ac:dyDescent="0.3">
      <c r="A13735" s="7" t="str">
        <f>HYPERLINK("http://www.eatonpowersource.com/products/configure/motors/details/105-1388-006","105-1388-006")</f>
        <v>105-1388-006</v>
      </c>
      <c r="B13735" s="8" t="s">
        <v>13300</v>
      </c>
    </row>
    <row r="13736" spans="1:2" x14ac:dyDescent="0.3">
      <c r="A13736" s="9" t="str">
        <f>HYPERLINK("http://www.eatonpowersource.com/products/configure/motors/details/105-1406-006","105-1406-006")</f>
        <v>105-1406-006</v>
      </c>
      <c r="B13736" s="10" t="s">
        <v>13301</v>
      </c>
    </row>
    <row r="13737" spans="1:2" x14ac:dyDescent="0.3">
      <c r="A13737" s="7" t="str">
        <f>HYPERLINK("http://www.eatonpowersource.com/products/configure/motors/details/105-1410-006","105-1410-006")</f>
        <v>105-1410-006</v>
      </c>
      <c r="B13737" s="8" t="s">
        <v>13302</v>
      </c>
    </row>
    <row r="13738" spans="1:2" x14ac:dyDescent="0.3">
      <c r="A13738" s="9" t="str">
        <f>HYPERLINK("http://www.eatonpowersource.com/products/configure/motors/details/105-1417-006","105-1417-006")</f>
        <v>105-1417-006</v>
      </c>
      <c r="B13738" s="10" t="s">
        <v>13303</v>
      </c>
    </row>
    <row r="13739" spans="1:2" x14ac:dyDescent="0.3">
      <c r="A13739" s="7" t="str">
        <f>HYPERLINK("http://www.eatonpowersource.com/products/configure/motors/details/105-1441-006","105-1441-006")</f>
        <v>105-1441-006</v>
      </c>
      <c r="B13739" s="8" t="s">
        <v>13304</v>
      </c>
    </row>
    <row r="13740" spans="1:2" x14ac:dyDescent="0.3">
      <c r="A13740" s="9" t="str">
        <f>HYPERLINK("http://www.eatonpowersource.com/products/configure/motors/details/105-1448-006","105-1448-006")</f>
        <v>105-1448-006</v>
      </c>
      <c r="B13740" s="10" t="s">
        <v>13305</v>
      </c>
    </row>
    <row r="13741" spans="1:2" x14ac:dyDescent="0.3">
      <c r="A13741" s="7" t="str">
        <f>HYPERLINK("http://www.eatonpowersource.com/products/configure/motors/details/105-1449-006","105-1449-006")</f>
        <v>105-1449-006</v>
      </c>
      <c r="B13741" s="8" t="s">
        <v>13306</v>
      </c>
    </row>
    <row r="13742" spans="1:2" x14ac:dyDescent="0.3">
      <c r="A13742" s="9" t="str">
        <f>HYPERLINK("http://www.eatonpowersource.com/products/configure/motors/details/105-1450-006","105-1450-006")</f>
        <v>105-1450-006</v>
      </c>
      <c r="B13742" s="10" t="s">
        <v>13307</v>
      </c>
    </row>
    <row r="13743" spans="1:2" x14ac:dyDescent="0.3">
      <c r="A13743" s="7" t="str">
        <f>HYPERLINK("http://www.eatonpowersource.com/products/configure/motors/details/105-1453-006","105-1453-006")</f>
        <v>105-1453-006</v>
      </c>
      <c r="B13743" s="8" t="s">
        <v>13308</v>
      </c>
    </row>
    <row r="13744" spans="1:2" x14ac:dyDescent="0.3">
      <c r="A13744" s="9" t="str">
        <f>HYPERLINK("http://www.eatonpowersource.com/products/configure/motors/details/105-1459-006","105-1459-006")</f>
        <v>105-1459-006</v>
      </c>
      <c r="B13744" s="10" t="s">
        <v>13309</v>
      </c>
    </row>
    <row r="13745" spans="1:2" x14ac:dyDescent="0.3">
      <c r="A13745" s="7" t="str">
        <f>HYPERLINK("http://www.eatonpowersource.com/products/configure/motors/details/105-1460-006","105-1460-006")</f>
        <v>105-1460-006</v>
      </c>
      <c r="B13745" s="8" t="s">
        <v>13310</v>
      </c>
    </row>
    <row r="13746" spans="1:2" x14ac:dyDescent="0.3">
      <c r="A13746" s="9" t="str">
        <f>HYPERLINK("http://www.eatonpowersource.com/products/configure/motors/details/105-1461-006","105-1461-006")</f>
        <v>105-1461-006</v>
      </c>
      <c r="B13746" s="10" t="s">
        <v>13311</v>
      </c>
    </row>
    <row r="13747" spans="1:2" x14ac:dyDescent="0.3">
      <c r="A13747" s="7" t="str">
        <f>HYPERLINK("http://www.eatonpowersource.com/products/configure/motors/details/105-1462-006","105-1462-006")</f>
        <v>105-1462-006</v>
      </c>
      <c r="B13747" s="8" t="s">
        <v>13312</v>
      </c>
    </row>
    <row r="13748" spans="1:2" x14ac:dyDescent="0.3">
      <c r="A13748" s="9" t="str">
        <f>HYPERLINK("http://www.eatonpowersource.com/products/configure/motors/details/105-1463-006","105-1463-006")</f>
        <v>105-1463-006</v>
      </c>
      <c r="B13748" s="10" t="s">
        <v>13313</v>
      </c>
    </row>
    <row r="13749" spans="1:2" x14ac:dyDescent="0.3">
      <c r="A13749" s="7" t="str">
        <f>HYPERLINK("http://www.eatonpowersource.com/products/configure/motors/details/105-1464-006","105-1464-006")</f>
        <v>105-1464-006</v>
      </c>
      <c r="B13749" s="8" t="s">
        <v>13314</v>
      </c>
    </row>
    <row r="13750" spans="1:2" x14ac:dyDescent="0.3">
      <c r="A13750" s="9" t="str">
        <f>HYPERLINK("http://www.eatonpowersource.com/products/configure/motors/details/105-1481-006","105-1481-006")</f>
        <v>105-1481-006</v>
      </c>
      <c r="B13750" s="10" t="s">
        <v>13315</v>
      </c>
    </row>
    <row r="13751" spans="1:2" x14ac:dyDescent="0.3">
      <c r="A13751" s="7" t="str">
        <f>HYPERLINK("http://www.eatonpowersource.com/products/configure/motors/details/105-1485-006","105-1485-006")</f>
        <v>105-1485-006</v>
      </c>
      <c r="B13751" s="8" t="s">
        <v>13316</v>
      </c>
    </row>
    <row r="13752" spans="1:2" x14ac:dyDescent="0.3">
      <c r="A13752" s="9" t="str">
        <f>HYPERLINK("http://www.eatonpowersource.com/products/configure/motors/details/105-1488-006","105-1488-006")</f>
        <v>105-1488-006</v>
      </c>
      <c r="B13752" s="10" t="s">
        <v>13317</v>
      </c>
    </row>
    <row r="13753" spans="1:2" x14ac:dyDescent="0.3">
      <c r="A13753" s="7" t="str">
        <f>HYPERLINK("http://www.eatonpowersource.com/products/configure/motors/details/105-1498-006","105-1498-006")</f>
        <v>105-1498-006</v>
      </c>
      <c r="B13753" s="8" t="s">
        <v>13318</v>
      </c>
    </row>
    <row r="13754" spans="1:2" x14ac:dyDescent="0.3">
      <c r="A13754" s="9" t="str">
        <f>HYPERLINK("http://www.eatonpowersource.com/products/configure/motors/details/105-1499-006","105-1499-006")</f>
        <v>105-1499-006</v>
      </c>
      <c r="B13754" s="10" t="s">
        <v>13319</v>
      </c>
    </row>
    <row r="13755" spans="1:2" x14ac:dyDescent="0.3">
      <c r="A13755" s="7" t="str">
        <f>HYPERLINK("http://www.eatonpowersource.com/products/configure/motors/details/105-1506-006","105-1506-006")</f>
        <v>105-1506-006</v>
      </c>
      <c r="B13755" s="8" t="s">
        <v>13320</v>
      </c>
    </row>
    <row r="13756" spans="1:2" x14ac:dyDescent="0.3">
      <c r="A13756" s="9" t="str">
        <f>HYPERLINK("http://www.eatonpowersource.com/products/configure/motors/details/105-1519-006","105-1519-006")</f>
        <v>105-1519-006</v>
      </c>
      <c r="B13756" s="10" t="s">
        <v>13321</v>
      </c>
    </row>
    <row r="13757" spans="1:2" x14ac:dyDescent="0.3">
      <c r="A13757" s="7" t="str">
        <f>HYPERLINK("http://www.eatonpowersource.com/products/configure/motors/details/105-1522-006","105-1522-006")</f>
        <v>105-1522-006</v>
      </c>
      <c r="B13757" s="8" t="s">
        <v>13322</v>
      </c>
    </row>
    <row r="13758" spans="1:2" x14ac:dyDescent="0.3">
      <c r="A13758" s="9" t="str">
        <f>HYPERLINK("http://www.eatonpowersource.com/products/configure/motors/details/105-1526-006","105-1526-006")</f>
        <v>105-1526-006</v>
      </c>
      <c r="B13758" s="10" t="s">
        <v>13323</v>
      </c>
    </row>
    <row r="13759" spans="1:2" x14ac:dyDescent="0.3">
      <c r="A13759" s="7" t="str">
        <f>HYPERLINK("http://www.eatonpowersource.com/products/configure/motors/details/105-1538-006","105-1538-006")</f>
        <v>105-1538-006</v>
      </c>
      <c r="B13759" s="8" t="s">
        <v>13324</v>
      </c>
    </row>
    <row r="13760" spans="1:2" x14ac:dyDescent="0.3">
      <c r="A13760" s="9" t="str">
        <f>HYPERLINK("http://www.eatonpowersource.com/products/configure/motors/details/105-1547-006","105-1547-006")</f>
        <v>105-1547-006</v>
      </c>
      <c r="B13760" s="10" t="s">
        <v>13325</v>
      </c>
    </row>
    <row r="13761" spans="1:2" x14ac:dyDescent="0.3">
      <c r="A13761" s="7" t="str">
        <f>HYPERLINK("http://www.eatonpowersource.com/products/configure/motors/details/105-1556-006","105-1556-006")</f>
        <v>105-1556-006</v>
      </c>
      <c r="B13761" s="8" t="s">
        <v>13326</v>
      </c>
    </row>
    <row r="13762" spans="1:2" x14ac:dyDescent="0.3">
      <c r="A13762" s="9" t="str">
        <f>HYPERLINK("http://www.eatonpowersource.com/products/configure/motors/details/105-1561-006","105-1561-006")</f>
        <v>105-1561-006</v>
      </c>
      <c r="B13762" s="10" t="s">
        <v>13327</v>
      </c>
    </row>
    <row r="13763" spans="1:2" x14ac:dyDescent="0.3">
      <c r="A13763" s="7" t="str">
        <f>HYPERLINK("http://www.eatonpowersource.com/products/configure/motors/details/105-1575-006","105-1575-006")</f>
        <v>105-1575-006</v>
      </c>
      <c r="B13763" s="8" t="s">
        <v>13328</v>
      </c>
    </row>
    <row r="13764" spans="1:2" x14ac:dyDescent="0.3">
      <c r="A13764" s="9" t="str">
        <f>HYPERLINK("http://www.eatonpowersource.com/products/configure/motors/details/105-1576-006","105-1576-006")</f>
        <v>105-1576-006</v>
      </c>
      <c r="B13764" s="10" t="s">
        <v>13329</v>
      </c>
    </row>
    <row r="13765" spans="1:2" x14ac:dyDescent="0.3">
      <c r="A13765" s="7" t="str">
        <f>HYPERLINK("http://www.eatonpowersource.com/products/configure/motors/details/105-1586-006","105-1586-006")</f>
        <v>105-1586-006</v>
      </c>
      <c r="B13765" s="8" t="s">
        <v>13330</v>
      </c>
    </row>
    <row r="13766" spans="1:2" x14ac:dyDescent="0.3">
      <c r="A13766" s="9" t="str">
        <f>HYPERLINK("http://www.eatonpowersource.com/products/configure/motors/details/105-1597-006","105-1597-006")</f>
        <v>105-1597-006</v>
      </c>
      <c r="B13766" s="10" t="s">
        <v>13331</v>
      </c>
    </row>
    <row r="13767" spans="1:2" x14ac:dyDescent="0.3">
      <c r="A13767" s="7" t="str">
        <f>HYPERLINK("http://www.eatonpowersource.com/products/configure/motors/details/105-1622-006","105-1622-006")</f>
        <v>105-1622-006</v>
      </c>
      <c r="B13767" s="8" t="s">
        <v>13332</v>
      </c>
    </row>
    <row r="13768" spans="1:2" x14ac:dyDescent="0.3">
      <c r="A13768" s="9" t="str">
        <f>HYPERLINK("http://www.eatonpowersource.com/products/configure/motors/details/105-1634-006","105-1634-006")</f>
        <v>105-1634-006</v>
      </c>
      <c r="B13768" s="10" t="s">
        <v>13333</v>
      </c>
    </row>
    <row r="13769" spans="1:2" x14ac:dyDescent="0.3">
      <c r="A13769" s="7" t="str">
        <f>HYPERLINK("http://www.eatonpowersource.com/products/configure/motors/details/105-1643-006","105-1643-006")</f>
        <v>105-1643-006</v>
      </c>
      <c r="B13769" s="8" t="s">
        <v>13334</v>
      </c>
    </row>
    <row r="13770" spans="1:2" x14ac:dyDescent="0.3">
      <c r="A13770" s="9" t="str">
        <f>HYPERLINK("http://www.eatonpowersource.com/products/configure/motors/details/105-1644-006","105-1644-006")</f>
        <v>105-1644-006</v>
      </c>
      <c r="B13770" s="10" t="s">
        <v>13335</v>
      </c>
    </row>
    <row r="13771" spans="1:2" x14ac:dyDescent="0.3">
      <c r="A13771" s="7" t="str">
        <f>HYPERLINK("http://www.eatonpowersource.com/products/configure/motors/details/105-1648-006","105-1648-006")</f>
        <v>105-1648-006</v>
      </c>
      <c r="B13771" s="8" t="s">
        <v>13336</v>
      </c>
    </row>
    <row r="13772" spans="1:2" x14ac:dyDescent="0.3">
      <c r="A13772" s="9" t="str">
        <f>HYPERLINK("http://www.eatonpowersource.com/products/configure/motors/details/105-1653-006","105-1653-006")</f>
        <v>105-1653-006</v>
      </c>
      <c r="B13772" s="10" t="s">
        <v>13337</v>
      </c>
    </row>
    <row r="13773" spans="1:2" x14ac:dyDescent="0.3">
      <c r="A13773" s="7" t="str">
        <f>HYPERLINK("http://www.eatonpowersource.com/products/configure/motors/details/105-1658-006","105-1658-006")</f>
        <v>105-1658-006</v>
      </c>
      <c r="B13773" s="8" t="s">
        <v>13338</v>
      </c>
    </row>
    <row r="13774" spans="1:2" x14ac:dyDescent="0.3">
      <c r="A13774" s="9" t="str">
        <f>HYPERLINK("http://www.eatonpowersource.com/products/configure/motors/details/105-1659-006","105-1659-006")</f>
        <v>105-1659-006</v>
      </c>
      <c r="B13774" s="10" t="s">
        <v>13339</v>
      </c>
    </row>
    <row r="13775" spans="1:2" x14ac:dyDescent="0.3">
      <c r="A13775" s="7" t="str">
        <f>HYPERLINK("http://www.eatonpowersource.com/products/configure/motors/details/105-1660-006","105-1660-006")</f>
        <v>105-1660-006</v>
      </c>
      <c r="B13775" s="8" t="s">
        <v>13340</v>
      </c>
    </row>
    <row r="13776" spans="1:2" x14ac:dyDescent="0.3">
      <c r="A13776" s="9" t="str">
        <f>HYPERLINK("http://www.eatonpowersource.com/products/configure/motors/details/105-1668-006","105-1668-006")</f>
        <v>105-1668-006</v>
      </c>
      <c r="B13776" s="10" t="s">
        <v>13341</v>
      </c>
    </row>
    <row r="13777" spans="1:2" x14ac:dyDescent="0.3">
      <c r="A13777" s="7" t="str">
        <f>HYPERLINK("http://www.eatonpowersource.com/products/configure/motors/details/105-1673-006","105-1673-006")</f>
        <v>105-1673-006</v>
      </c>
      <c r="B13777" s="8" t="s">
        <v>13342</v>
      </c>
    </row>
    <row r="13778" spans="1:2" x14ac:dyDescent="0.3">
      <c r="A13778" s="9" t="str">
        <f>HYPERLINK("http://www.eatonpowersource.com/products/configure/motors/details/105-1680-006","105-1680-006")</f>
        <v>105-1680-006</v>
      </c>
      <c r="B13778" s="10" t="s">
        <v>13343</v>
      </c>
    </row>
    <row r="13779" spans="1:2" x14ac:dyDescent="0.3">
      <c r="A13779" s="7" t="str">
        <f>HYPERLINK("http://www.eatonpowersource.com/products/configure/motors/details/105-1681-006","105-1681-006")</f>
        <v>105-1681-006</v>
      </c>
      <c r="B13779" s="8" t="s">
        <v>13344</v>
      </c>
    </row>
    <row r="13780" spans="1:2" x14ac:dyDescent="0.3">
      <c r="A13780" s="9" t="str">
        <f>HYPERLINK("http://www.eatonpowersource.com/products/configure/motors/details/105-1682-006","105-1682-006")</f>
        <v>105-1682-006</v>
      </c>
      <c r="B13780" s="10" t="s">
        <v>13345</v>
      </c>
    </row>
    <row r="13781" spans="1:2" x14ac:dyDescent="0.3">
      <c r="A13781" s="7" t="str">
        <f>HYPERLINK("http://www.eatonpowersource.com/products/configure/motors/details/105-1683-006","105-1683-006")</f>
        <v>105-1683-006</v>
      </c>
      <c r="B13781" s="8" t="s">
        <v>13346</v>
      </c>
    </row>
    <row r="13782" spans="1:2" x14ac:dyDescent="0.3">
      <c r="A13782" s="9" t="str">
        <f>HYPERLINK("http://www.eatonpowersource.com/products/configure/motors/details/105-1684-006","105-1684-006")</f>
        <v>105-1684-006</v>
      </c>
      <c r="B13782" s="10" t="s">
        <v>13347</v>
      </c>
    </row>
    <row r="13783" spans="1:2" x14ac:dyDescent="0.3">
      <c r="A13783" s="7" t="str">
        <f>HYPERLINK("http://www.eatonpowersource.com/products/configure/motors/details/106-1008-006","106-1008-006")</f>
        <v>106-1008-006</v>
      </c>
      <c r="B13783" s="8" t="s">
        <v>13348</v>
      </c>
    </row>
    <row r="13784" spans="1:2" x14ac:dyDescent="0.3">
      <c r="A13784" s="9" t="str">
        <f>HYPERLINK("http://www.eatonpowersource.com/products/configure/motors/details/106-1011-006","106-1011-006")</f>
        <v>106-1011-006</v>
      </c>
      <c r="B13784" s="10" t="s">
        <v>13349</v>
      </c>
    </row>
    <row r="13785" spans="1:2" x14ac:dyDescent="0.3">
      <c r="A13785" s="7" t="str">
        <f>HYPERLINK("http://www.eatonpowersource.com/products/configure/motors/details/106-1013-006","106-1013-006")</f>
        <v>106-1013-006</v>
      </c>
      <c r="B13785" s="8" t="s">
        <v>13350</v>
      </c>
    </row>
    <row r="13786" spans="1:2" x14ac:dyDescent="0.3">
      <c r="A13786" s="9" t="str">
        <f>HYPERLINK("http://www.eatonpowersource.com/products/configure/motors/details/106-1014-006","106-1014-006")</f>
        <v>106-1014-006</v>
      </c>
      <c r="B13786" s="10" t="s">
        <v>13351</v>
      </c>
    </row>
    <row r="13787" spans="1:2" x14ac:dyDescent="0.3">
      <c r="A13787" s="7" t="str">
        <f>HYPERLINK("http://www.eatonpowersource.com/products/configure/motors/details/106-1015-006","106-1015-006")</f>
        <v>106-1015-006</v>
      </c>
      <c r="B13787" s="8" t="s">
        <v>13352</v>
      </c>
    </row>
    <row r="13788" spans="1:2" x14ac:dyDescent="0.3">
      <c r="A13788" s="9" t="str">
        <f>HYPERLINK("http://www.eatonpowersource.com/products/configure/motors/details/106-1032-006","106-1032-006")</f>
        <v>106-1032-006</v>
      </c>
      <c r="B13788" s="10" t="s">
        <v>13353</v>
      </c>
    </row>
    <row r="13789" spans="1:2" x14ac:dyDescent="0.3">
      <c r="A13789" s="7" t="str">
        <f>HYPERLINK("http://www.eatonpowersource.com/products/configure/motors/details/106-1034-006","106-1034-006")</f>
        <v>106-1034-006</v>
      </c>
      <c r="B13789" s="8" t="s">
        <v>13354</v>
      </c>
    </row>
    <row r="13790" spans="1:2" x14ac:dyDescent="0.3">
      <c r="A13790" s="9" t="str">
        <f>HYPERLINK("http://www.eatonpowersource.com/products/configure/motors/details/106-1035-006","106-1035-006")</f>
        <v>106-1035-006</v>
      </c>
      <c r="B13790" s="10" t="s">
        <v>13355</v>
      </c>
    </row>
    <row r="13791" spans="1:2" x14ac:dyDescent="0.3">
      <c r="A13791" s="7" t="str">
        <f>HYPERLINK("http://www.eatonpowersource.com/products/configure/motors/details/106-1036-006","106-1036-006")</f>
        <v>106-1036-006</v>
      </c>
      <c r="B13791" s="8" t="s">
        <v>13356</v>
      </c>
    </row>
    <row r="13792" spans="1:2" x14ac:dyDescent="0.3">
      <c r="A13792" s="9" t="str">
        <f>HYPERLINK("http://www.eatonpowersource.com/products/configure/motors/details/106-1037-006","106-1037-006")</f>
        <v>106-1037-006</v>
      </c>
      <c r="B13792" s="10" t="s">
        <v>13357</v>
      </c>
    </row>
    <row r="13793" spans="1:2" x14ac:dyDescent="0.3">
      <c r="A13793" s="7" t="str">
        <f>HYPERLINK("http://www.eatonpowersource.com/products/configure/motors/details/106-1038-006","106-1038-006")</f>
        <v>106-1038-006</v>
      </c>
      <c r="B13793" s="8" t="s">
        <v>13358</v>
      </c>
    </row>
    <row r="13794" spans="1:2" x14ac:dyDescent="0.3">
      <c r="A13794" s="9" t="str">
        <f>HYPERLINK("http://www.eatonpowersource.com/products/configure/motors/details/106-1039-006","106-1039-006")</f>
        <v>106-1039-006</v>
      </c>
      <c r="B13794" s="10" t="s">
        <v>13359</v>
      </c>
    </row>
    <row r="13795" spans="1:2" x14ac:dyDescent="0.3">
      <c r="A13795" s="7" t="str">
        <f>HYPERLINK("http://www.eatonpowersource.com/products/configure/motors/details/106-1040-006","106-1040-006")</f>
        <v>106-1040-006</v>
      </c>
      <c r="B13795" s="8" t="s">
        <v>13360</v>
      </c>
    </row>
    <row r="13796" spans="1:2" x14ac:dyDescent="0.3">
      <c r="A13796" s="9" t="str">
        <f>HYPERLINK("http://www.eatonpowersource.com/products/configure/motors/details/106-1041-006","106-1041-006")</f>
        <v>106-1041-006</v>
      </c>
      <c r="B13796" s="10" t="s">
        <v>13361</v>
      </c>
    </row>
    <row r="13797" spans="1:2" x14ac:dyDescent="0.3">
      <c r="A13797" s="7" t="str">
        <f>HYPERLINK("http://www.eatonpowersource.com/products/configure/motors/details/106-1042-006","106-1042-006")</f>
        <v>106-1042-006</v>
      </c>
      <c r="B13797" s="8" t="s">
        <v>13362</v>
      </c>
    </row>
    <row r="13798" spans="1:2" x14ac:dyDescent="0.3">
      <c r="A13798" s="9" t="str">
        <f>HYPERLINK("http://www.eatonpowersource.com/products/configure/motors/details/106-1043-006","106-1043-006")</f>
        <v>106-1043-006</v>
      </c>
      <c r="B13798" s="10" t="s">
        <v>13363</v>
      </c>
    </row>
    <row r="13799" spans="1:2" x14ac:dyDescent="0.3">
      <c r="A13799" s="7" t="str">
        <f>HYPERLINK("http://www.eatonpowersource.com/products/configure/motors/details/106-1044-006","106-1044-006")</f>
        <v>106-1044-006</v>
      </c>
      <c r="B13799" s="8" t="s">
        <v>13364</v>
      </c>
    </row>
    <row r="13800" spans="1:2" x14ac:dyDescent="0.3">
      <c r="A13800" s="9" t="str">
        <f>HYPERLINK("http://www.eatonpowersource.com/products/configure/motors/details/106-1045-006","106-1045-006")</f>
        <v>106-1045-006</v>
      </c>
      <c r="B13800" s="10" t="s">
        <v>13365</v>
      </c>
    </row>
    <row r="13801" spans="1:2" x14ac:dyDescent="0.3">
      <c r="A13801" s="7" t="str">
        <f>HYPERLINK("http://www.eatonpowersource.com/products/configure/motors/details/106-1046-006","106-1046-006")</f>
        <v>106-1046-006</v>
      </c>
      <c r="B13801" s="8" t="s">
        <v>13366</v>
      </c>
    </row>
    <row r="13802" spans="1:2" x14ac:dyDescent="0.3">
      <c r="A13802" s="9" t="str">
        <f>HYPERLINK("http://www.eatonpowersource.com/products/configure/motors/details/106-1047-006","106-1047-006")</f>
        <v>106-1047-006</v>
      </c>
      <c r="B13802" s="10" t="s">
        <v>13367</v>
      </c>
    </row>
    <row r="13803" spans="1:2" x14ac:dyDescent="0.3">
      <c r="A13803" s="7" t="str">
        <f>HYPERLINK("http://www.eatonpowersource.com/products/configure/motors/details/106-1061-006","106-1061-006")</f>
        <v>106-1061-006</v>
      </c>
      <c r="B13803" s="8" t="s">
        <v>13368</v>
      </c>
    </row>
    <row r="13804" spans="1:2" x14ac:dyDescent="0.3">
      <c r="A13804" s="9" t="str">
        <f>HYPERLINK("http://www.eatonpowersource.com/products/configure/motors/details/106-1063-006","106-1063-006")</f>
        <v>106-1063-006</v>
      </c>
      <c r="B13804" s="10" t="s">
        <v>13369</v>
      </c>
    </row>
    <row r="13805" spans="1:2" x14ac:dyDescent="0.3">
      <c r="A13805" s="7" t="str">
        <f>HYPERLINK("http://www.eatonpowersource.com/products/configure/motors/details/106-1064-006","106-1064-006")</f>
        <v>106-1064-006</v>
      </c>
      <c r="B13805" s="8" t="s">
        <v>13370</v>
      </c>
    </row>
    <row r="13806" spans="1:2" x14ac:dyDescent="0.3">
      <c r="A13806" s="9" t="str">
        <f>HYPERLINK("http://www.eatonpowersource.com/products/configure/motors/details/106-1083-006","106-1083-006")</f>
        <v>106-1083-006</v>
      </c>
      <c r="B13806" s="10" t="s">
        <v>13371</v>
      </c>
    </row>
    <row r="13807" spans="1:2" x14ac:dyDescent="0.3">
      <c r="A13807" s="7" t="str">
        <f>HYPERLINK("http://www.eatonpowersource.com/products/configure/motors/details/106-1100-006","106-1100-006")</f>
        <v>106-1100-006</v>
      </c>
      <c r="B13807" s="8" t="s">
        <v>13372</v>
      </c>
    </row>
    <row r="13808" spans="1:2" x14ac:dyDescent="0.3">
      <c r="A13808" s="9" t="str">
        <f>HYPERLINK("http://www.eatonpowersource.com/products/configure/motors/details/106-1101-006","106-1101-006")</f>
        <v>106-1101-006</v>
      </c>
      <c r="B13808" s="10" t="s">
        <v>13373</v>
      </c>
    </row>
    <row r="13809" spans="1:2" x14ac:dyDescent="0.3">
      <c r="A13809" s="7" t="str">
        <f>HYPERLINK("http://www.eatonpowersource.com/products/configure/motors/details/106-1102-006","106-1102-006")</f>
        <v>106-1102-006</v>
      </c>
      <c r="B13809" s="8" t="s">
        <v>13374</v>
      </c>
    </row>
    <row r="13810" spans="1:2" x14ac:dyDescent="0.3">
      <c r="A13810" s="9" t="str">
        <f>HYPERLINK("http://www.eatonpowersource.com/products/configure/motors/details/106-1111-006","106-1111-006")</f>
        <v>106-1111-006</v>
      </c>
      <c r="B13810" s="10" t="s">
        <v>13375</v>
      </c>
    </row>
    <row r="13811" spans="1:2" x14ac:dyDescent="0.3">
      <c r="A13811" s="7" t="str">
        <f>HYPERLINK("http://www.eatonpowersource.com/products/configure/motors/details/106-1114-006","106-1114-006")</f>
        <v>106-1114-006</v>
      </c>
      <c r="B13811" s="8" t="s">
        <v>13376</v>
      </c>
    </row>
    <row r="13812" spans="1:2" x14ac:dyDescent="0.3">
      <c r="A13812" s="9" t="str">
        <f>HYPERLINK("http://www.eatonpowersource.com/products/configure/motors/details/106-1115-006","106-1115-006")</f>
        <v>106-1115-006</v>
      </c>
      <c r="B13812" s="10" t="s">
        <v>13377</v>
      </c>
    </row>
    <row r="13813" spans="1:2" x14ac:dyDescent="0.3">
      <c r="A13813" s="7" t="str">
        <f>HYPERLINK("http://www.eatonpowersource.com/products/configure/motors/details/106-1122-006","106-1122-006")</f>
        <v>106-1122-006</v>
      </c>
      <c r="B13813" s="8" t="s">
        <v>13378</v>
      </c>
    </row>
    <row r="13814" spans="1:2" x14ac:dyDescent="0.3">
      <c r="A13814" s="9" t="str">
        <f>HYPERLINK("http://www.eatonpowersource.com/products/configure/motors/details/106-1125-006","106-1125-006")</f>
        <v>106-1125-006</v>
      </c>
      <c r="B13814" s="10" t="s">
        <v>13379</v>
      </c>
    </row>
    <row r="13815" spans="1:2" x14ac:dyDescent="0.3">
      <c r="A13815" s="7" t="str">
        <f>HYPERLINK("http://www.eatonpowersource.com/products/configure/motors/details/106-1129-006","106-1129-006")</f>
        <v>106-1129-006</v>
      </c>
      <c r="B13815" s="8" t="s">
        <v>13380</v>
      </c>
    </row>
    <row r="13816" spans="1:2" x14ac:dyDescent="0.3">
      <c r="A13816" s="9" t="str">
        <f>HYPERLINK("http://www.eatonpowersource.com/products/configure/motors/details/106-1135-006","106-1135-006")</f>
        <v>106-1135-006</v>
      </c>
      <c r="B13816" s="10" t="s">
        <v>13381</v>
      </c>
    </row>
    <row r="13817" spans="1:2" x14ac:dyDescent="0.3">
      <c r="A13817" s="7" t="str">
        <f>HYPERLINK("http://www.eatonpowersource.com/products/configure/motors/details/106-1149-006","106-1149-006")</f>
        <v>106-1149-006</v>
      </c>
      <c r="B13817" s="8" t="s">
        <v>13382</v>
      </c>
    </row>
    <row r="13818" spans="1:2" x14ac:dyDescent="0.3">
      <c r="A13818" s="9" t="str">
        <f>HYPERLINK("http://www.eatonpowersource.com/products/configure/motors/details/106-1152-006","106-1152-006")</f>
        <v>106-1152-006</v>
      </c>
      <c r="B13818" s="10" t="s">
        <v>13383</v>
      </c>
    </row>
    <row r="13819" spans="1:2" x14ac:dyDescent="0.3">
      <c r="A13819" s="7" t="str">
        <f>HYPERLINK("http://www.eatonpowersource.com/products/configure/motors/details/106-1154-006","106-1154-006")</f>
        <v>106-1154-006</v>
      </c>
      <c r="B13819" s="8" t="s">
        <v>13384</v>
      </c>
    </row>
    <row r="13820" spans="1:2" x14ac:dyDescent="0.3">
      <c r="A13820" s="9" t="str">
        <f>HYPERLINK("http://www.eatonpowersource.com/products/configure/motors/details/106-1171-006","106-1171-006")</f>
        <v>106-1171-006</v>
      </c>
      <c r="B13820" s="10" t="s">
        <v>13385</v>
      </c>
    </row>
    <row r="13821" spans="1:2" x14ac:dyDescent="0.3">
      <c r="A13821" s="7" t="str">
        <f>HYPERLINK("http://www.eatonpowersource.com/products/configure/motors/details/106-1199-006","106-1199-006")</f>
        <v>106-1199-006</v>
      </c>
      <c r="B13821" s="8" t="s">
        <v>13386</v>
      </c>
    </row>
    <row r="13822" spans="1:2" x14ac:dyDescent="0.3">
      <c r="A13822" s="9" t="str">
        <f>HYPERLINK("http://www.eatonpowersource.com/products/configure/motors/details/106-1200-006","106-1200-006")</f>
        <v>106-1200-006</v>
      </c>
      <c r="B13822" s="10" t="s">
        <v>13387</v>
      </c>
    </row>
    <row r="13823" spans="1:2" x14ac:dyDescent="0.3">
      <c r="A13823" s="7" t="str">
        <f>HYPERLINK("http://www.eatonpowersource.com/products/configure/motors/details/106-1202-006","106-1202-006")</f>
        <v>106-1202-006</v>
      </c>
      <c r="B13823" s="8" t="s">
        <v>13388</v>
      </c>
    </row>
    <row r="13824" spans="1:2" x14ac:dyDescent="0.3">
      <c r="A13824" s="9" t="str">
        <f>HYPERLINK("http://www.eatonpowersource.com/products/configure/motors/details/106-1204-006","106-1204-006")</f>
        <v>106-1204-006</v>
      </c>
      <c r="B13824" s="10" t="s">
        <v>13389</v>
      </c>
    </row>
    <row r="13825" spans="1:2" x14ac:dyDescent="0.3">
      <c r="A13825" s="7" t="str">
        <f>HYPERLINK("http://www.eatonpowersource.com/products/configure/motors/details/106-1205-006","106-1205-006")</f>
        <v>106-1205-006</v>
      </c>
      <c r="B13825" s="8" t="s">
        <v>13390</v>
      </c>
    </row>
    <row r="13826" spans="1:2" x14ac:dyDescent="0.3">
      <c r="A13826" s="9" t="str">
        <f>HYPERLINK("http://www.eatonpowersource.com/products/configure/motors/details/114286-001","114286-001")</f>
        <v>114286-001</v>
      </c>
      <c r="B13826" s="10" t="s">
        <v>13391</v>
      </c>
    </row>
    <row r="13827" spans="1:2" x14ac:dyDescent="0.3">
      <c r="A13827" s="7" t="str">
        <f>HYPERLINK("http://www.eatonpowersource.com/products/configure/motors/details/158-4271-001","158-4271-001")</f>
        <v>158-4271-001</v>
      </c>
      <c r="B13827" s="8" t="s">
        <v>13392</v>
      </c>
    </row>
    <row r="13828" spans="1:2" x14ac:dyDescent="0.3">
      <c r="A13828" s="9" t="str">
        <f>HYPERLINK("http://www.eatonpowersource.com/products/configure/motors/details/193-0002-001","193-0002-001")</f>
        <v>193-0002-001</v>
      </c>
      <c r="B13828" s="10" t="s">
        <v>13393</v>
      </c>
    </row>
    <row r="13829" spans="1:2" x14ac:dyDescent="0.3">
      <c r="A13829" s="7" t="str">
        <f>HYPERLINK("http://www.eatonpowersource.com/products/configure/motors/details/193-0003-001","193-0003-001")</f>
        <v>193-0003-001</v>
      </c>
      <c r="B13829" s="8" t="s">
        <v>13394</v>
      </c>
    </row>
    <row r="13830" spans="1:2" x14ac:dyDescent="0.3">
      <c r="A13830" s="9" t="str">
        <f>HYPERLINK("http://www.eatonpowersource.com/products/configure/motors/details/193-0004-001","193-0004-001")</f>
        <v>193-0004-001</v>
      </c>
      <c r="B13830" s="10" t="s">
        <v>13395</v>
      </c>
    </row>
    <row r="13831" spans="1:2" x14ac:dyDescent="0.3">
      <c r="A13831" s="7" t="str">
        <f>HYPERLINK("http://www.eatonpowersource.com/products/configure/motors/details/193-0005-001","193-0005-001")</f>
        <v>193-0005-001</v>
      </c>
      <c r="B13831" s="8" t="s">
        <v>13396</v>
      </c>
    </row>
    <row r="13832" spans="1:2" x14ac:dyDescent="0.3">
      <c r="A13832" s="9" t="str">
        <f>HYPERLINK("http://www.eatonpowersource.com/products/configure/motors/details/193-0006-001","193-0006-001")</f>
        <v>193-0006-001</v>
      </c>
      <c r="B13832" s="10" t="s">
        <v>13397</v>
      </c>
    </row>
    <row r="13833" spans="1:2" x14ac:dyDescent="0.3">
      <c r="A13833" s="7" t="str">
        <f>HYPERLINK("http://www.eatonpowersource.com/products/configure/motors/details/193-0010-001","193-0010-001")</f>
        <v>193-0010-001</v>
      </c>
      <c r="B13833" s="8" t="s">
        <v>13398</v>
      </c>
    </row>
    <row r="13834" spans="1:2" x14ac:dyDescent="0.3">
      <c r="A13834" s="9" t="str">
        <f>HYPERLINK("http://www.eatonpowersource.com/products/configure/motors/details/193-0011-001","193-0011-001")</f>
        <v>193-0011-001</v>
      </c>
      <c r="B13834" s="10" t="s">
        <v>13399</v>
      </c>
    </row>
    <row r="13835" spans="1:2" x14ac:dyDescent="0.3">
      <c r="A13835" s="7" t="str">
        <f>HYPERLINK("http://www.eatonpowersource.com/products/configure/motors/details/193-0013-001","193-0013-001")</f>
        <v>193-0013-001</v>
      </c>
      <c r="B13835" s="8" t="s">
        <v>13400</v>
      </c>
    </row>
    <row r="13836" spans="1:2" x14ac:dyDescent="0.3">
      <c r="A13836" s="9" t="str">
        <f>HYPERLINK("http://www.eatonpowersource.com/products/configure/motors/details/193-0014-001","193-0014-001")</f>
        <v>193-0014-001</v>
      </c>
      <c r="B13836" s="10" t="s">
        <v>13401</v>
      </c>
    </row>
    <row r="13837" spans="1:2" x14ac:dyDescent="0.3">
      <c r="A13837" s="7" t="str">
        <f>HYPERLINK("http://www.eatonpowersource.com/products/configure/motors/details/193-0015-001","193-0015-001")</f>
        <v>193-0015-001</v>
      </c>
      <c r="B13837" s="8" t="s">
        <v>13402</v>
      </c>
    </row>
    <row r="13838" spans="1:2" x14ac:dyDescent="0.3">
      <c r="A13838" s="9" t="str">
        <f>HYPERLINK("http://www.eatonpowersource.com/products/configure/motors/details/193-0016-001","193-0016-001")</f>
        <v>193-0016-001</v>
      </c>
      <c r="B13838" s="10" t="s">
        <v>13403</v>
      </c>
    </row>
    <row r="13839" spans="1:2" x14ac:dyDescent="0.3">
      <c r="A13839" s="7" t="str">
        <f>HYPERLINK("http://www.eatonpowersource.com/products/configure/motors/details/193-0017-001","193-0017-001")</f>
        <v>193-0017-001</v>
      </c>
      <c r="B13839" s="8" t="s">
        <v>13404</v>
      </c>
    </row>
    <row r="13840" spans="1:2" x14ac:dyDescent="0.3">
      <c r="A13840" s="9" t="str">
        <f>HYPERLINK("http://www.eatonpowersource.com/products/configure/motors/details/193-0018-001","193-0018-001")</f>
        <v>193-0018-001</v>
      </c>
      <c r="B13840" s="10" t="s">
        <v>13405</v>
      </c>
    </row>
    <row r="13841" spans="1:2" x14ac:dyDescent="0.3">
      <c r="A13841" s="7" t="str">
        <f>HYPERLINK("http://www.eatonpowersource.com/products/configure/motors/details/193-0019-001","193-0019-001")</f>
        <v>193-0019-001</v>
      </c>
      <c r="B13841" s="8" t="s">
        <v>13406</v>
      </c>
    </row>
    <row r="13842" spans="1:2" x14ac:dyDescent="0.3">
      <c r="A13842" s="9" t="str">
        <f>HYPERLINK("http://www.eatonpowersource.com/products/configure/motors/details/193-0021-001","193-0021-001")</f>
        <v>193-0021-001</v>
      </c>
      <c r="B13842" s="10" t="s">
        <v>13407</v>
      </c>
    </row>
    <row r="13843" spans="1:2" x14ac:dyDescent="0.3">
      <c r="A13843" s="7" t="str">
        <f>HYPERLINK("http://www.eatonpowersource.com/products/configure/motors/details/193-0022-001","193-0022-001")</f>
        <v>193-0022-001</v>
      </c>
      <c r="B13843" s="8" t="s">
        <v>13408</v>
      </c>
    </row>
    <row r="13844" spans="1:2" x14ac:dyDescent="0.3">
      <c r="A13844" s="9" t="str">
        <f>HYPERLINK("http://www.eatonpowersource.com/products/configure/motors/details/193-0023-001","193-0023-001")</f>
        <v>193-0023-001</v>
      </c>
      <c r="B13844" s="10" t="s">
        <v>13409</v>
      </c>
    </row>
    <row r="13845" spans="1:2" x14ac:dyDescent="0.3">
      <c r="A13845" s="7" t="str">
        <f>HYPERLINK("http://www.eatonpowersource.com/products/configure/motors/details/193-0024-001","193-0024-001")</f>
        <v>193-0024-001</v>
      </c>
      <c r="B13845" s="8" t="s">
        <v>13410</v>
      </c>
    </row>
    <row r="13846" spans="1:2" x14ac:dyDescent="0.3">
      <c r="A13846" s="9" t="str">
        <f>HYPERLINK("http://www.eatonpowersource.com/products/configure/motors/details/193-0025-001","193-0025-001")</f>
        <v>193-0025-001</v>
      </c>
      <c r="B13846" s="10" t="s">
        <v>13411</v>
      </c>
    </row>
    <row r="13847" spans="1:2" x14ac:dyDescent="0.3">
      <c r="A13847" s="7" t="str">
        <f>HYPERLINK("http://www.eatonpowersource.com/products/configure/motors/details/193-0026-001","193-0026-001")</f>
        <v>193-0026-001</v>
      </c>
      <c r="B13847" s="8" t="s">
        <v>13412</v>
      </c>
    </row>
    <row r="13848" spans="1:2" x14ac:dyDescent="0.3">
      <c r="A13848" s="9" t="str">
        <f>HYPERLINK("http://www.eatonpowersource.com/products/configure/motors/details/193-0027-001","193-0027-001")</f>
        <v>193-0027-001</v>
      </c>
      <c r="B13848" s="10" t="s">
        <v>13413</v>
      </c>
    </row>
    <row r="13849" spans="1:2" x14ac:dyDescent="0.3">
      <c r="A13849" s="7" t="str">
        <f>HYPERLINK("http://www.eatonpowersource.com/products/configure/motors/details/193-0028-001","193-0028-001")</f>
        <v>193-0028-001</v>
      </c>
      <c r="B13849" s="8" t="s">
        <v>13414</v>
      </c>
    </row>
    <row r="13850" spans="1:2" x14ac:dyDescent="0.3">
      <c r="A13850" s="9" t="str">
        <f>HYPERLINK("http://www.eatonpowersource.com/products/configure/motors/details/193-0029-001","193-0029-001")</f>
        <v>193-0029-001</v>
      </c>
      <c r="B13850" s="10" t="s">
        <v>13415</v>
      </c>
    </row>
    <row r="13851" spans="1:2" x14ac:dyDescent="0.3">
      <c r="A13851" s="7" t="str">
        <f>HYPERLINK("http://www.eatonpowersource.com/products/configure/motors/details/193-0030-001","193-0030-001")</f>
        <v>193-0030-001</v>
      </c>
      <c r="B13851" s="8" t="s">
        <v>13416</v>
      </c>
    </row>
    <row r="13852" spans="1:2" x14ac:dyDescent="0.3">
      <c r="A13852" s="9" t="str">
        <f>HYPERLINK("http://www.eatonpowersource.com/products/configure/motors/details/193-0052-001","193-0052-001")</f>
        <v>193-0052-001</v>
      </c>
      <c r="B13852" s="10" t="s">
        <v>13417</v>
      </c>
    </row>
    <row r="13853" spans="1:2" x14ac:dyDescent="0.3">
      <c r="A13853" s="7" t="str">
        <f>HYPERLINK("http://www.eatonpowersource.com/products/configure/motors/details/193-0057-001","193-0057-001")</f>
        <v>193-0057-001</v>
      </c>
      <c r="B13853" s="8" t="s">
        <v>13418</v>
      </c>
    </row>
    <row r="13854" spans="1:2" x14ac:dyDescent="0.3">
      <c r="A13854" s="9" t="str">
        <f>HYPERLINK("http://www.eatonpowersource.com/products/configure/motors/details/193-0058-001","193-0058-001")</f>
        <v>193-0058-001</v>
      </c>
      <c r="B13854" s="10" t="s">
        <v>13419</v>
      </c>
    </row>
    <row r="13855" spans="1:2" x14ac:dyDescent="0.3">
      <c r="A13855" s="7" t="str">
        <f>HYPERLINK("http://www.eatonpowersource.com/products/configure/motors/details/193-0059-001","193-0059-001")</f>
        <v>193-0059-001</v>
      </c>
      <c r="B13855" s="8" t="s">
        <v>13420</v>
      </c>
    </row>
    <row r="13856" spans="1:2" x14ac:dyDescent="0.3">
      <c r="A13856" s="9" t="str">
        <f>HYPERLINK("http://www.eatonpowersource.com/products/configure/motors/details/193-0076-001","193-0076-001")</f>
        <v>193-0076-001</v>
      </c>
      <c r="B13856" s="10" t="s">
        <v>13421</v>
      </c>
    </row>
    <row r="13857" spans="1:2" x14ac:dyDescent="0.3">
      <c r="A13857" s="7" t="str">
        <f>HYPERLINK("http://www.eatonpowersource.com/products/configure/motors/details/193-0080-001","193-0080-001")</f>
        <v>193-0080-001</v>
      </c>
      <c r="B13857" s="8" t="s">
        <v>13422</v>
      </c>
    </row>
    <row r="13858" spans="1:2" x14ac:dyDescent="0.3">
      <c r="A13858" s="9" t="str">
        <f>HYPERLINK("http://www.eatonpowersource.com/products/configure/motors/details/193-0084-001","193-0084-001")</f>
        <v>193-0084-001</v>
      </c>
      <c r="B13858" s="10" t="s">
        <v>13423</v>
      </c>
    </row>
    <row r="13859" spans="1:2" x14ac:dyDescent="0.3">
      <c r="A13859" s="7" t="str">
        <f>HYPERLINK("http://www.eatonpowersource.com/products/configure/motors/details/193-0085-001","193-0085-001")</f>
        <v>193-0085-001</v>
      </c>
      <c r="B13859" s="8" t="s">
        <v>13424</v>
      </c>
    </row>
    <row r="13860" spans="1:2" x14ac:dyDescent="0.3">
      <c r="A13860" s="9" t="str">
        <f>HYPERLINK("http://www.eatonpowersource.com/products/configure/motors/details/193-0086-001","193-0086-001")</f>
        <v>193-0086-001</v>
      </c>
      <c r="B13860" s="10" t="s">
        <v>13425</v>
      </c>
    </row>
    <row r="13861" spans="1:2" x14ac:dyDescent="0.3">
      <c r="A13861" s="7" t="str">
        <f>HYPERLINK("http://www.eatonpowersource.com/products/configure/motors/details/193-0087-001","193-0087-001")</f>
        <v>193-0087-001</v>
      </c>
      <c r="B13861" s="8" t="s">
        <v>13426</v>
      </c>
    </row>
    <row r="13862" spans="1:2" x14ac:dyDescent="0.3">
      <c r="A13862" s="9" t="str">
        <f>HYPERLINK("http://www.eatonpowersource.com/products/configure/motors/details/193-0088-001","193-0088-001")</f>
        <v>193-0088-001</v>
      </c>
      <c r="B13862" s="10" t="s">
        <v>13427</v>
      </c>
    </row>
    <row r="13863" spans="1:2" x14ac:dyDescent="0.3">
      <c r="A13863" s="7" t="str">
        <f>HYPERLINK("http://www.eatonpowersource.com/products/configure/motors/details/193-0089-001","193-0089-001")</f>
        <v>193-0089-001</v>
      </c>
      <c r="B13863" s="8" t="s">
        <v>13428</v>
      </c>
    </row>
    <row r="13864" spans="1:2" x14ac:dyDescent="0.3">
      <c r="A13864" s="9" t="str">
        <f>HYPERLINK("http://www.eatonpowersource.com/products/configure/motors/details/193-0090-001","193-0090-001")</f>
        <v>193-0090-001</v>
      </c>
      <c r="B13864" s="10" t="s">
        <v>13429</v>
      </c>
    </row>
    <row r="13865" spans="1:2" x14ac:dyDescent="0.3">
      <c r="A13865" s="7" t="str">
        <f>HYPERLINK("http://www.eatonpowersource.com/products/configure/motors/details/193-0091-001","193-0091-001")</f>
        <v>193-0091-001</v>
      </c>
      <c r="B13865" s="8" t="s">
        <v>13430</v>
      </c>
    </row>
    <row r="13866" spans="1:2" x14ac:dyDescent="0.3">
      <c r="A13866" s="9" t="str">
        <f>HYPERLINK("http://www.eatonpowersource.com/products/configure/motors/details/193-0093-001","193-0093-001")</f>
        <v>193-0093-001</v>
      </c>
      <c r="B13866" s="10" t="s">
        <v>13431</v>
      </c>
    </row>
    <row r="13867" spans="1:2" x14ac:dyDescent="0.3">
      <c r="A13867" s="7" t="str">
        <f>HYPERLINK("http://www.eatonpowersource.com/products/configure/motors/details/193-0106-001","193-0106-001")</f>
        <v>193-0106-001</v>
      </c>
      <c r="B13867" s="8" t="s">
        <v>13432</v>
      </c>
    </row>
    <row r="13868" spans="1:2" x14ac:dyDescent="0.3">
      <c r="A13868" s="9" t="str">
        <f>HYPERLINK("http://www.eatonpowersource.com/products/configure/motors/details/193-0112-001","193-0112-001")</f>
        <v>193-0112-001</v>
      </c>
      <c r="B13868" s="10" t="s">
        <v>13433</v>
      </c>
    </row>
    <row r="13869" spans="1:2" x14ac:dyDescent="0.3">
      <c r="A13869" s="7" t="str">
        <f>HYPERLINK("http://www.eatonpowersource.com/products/configure/motors/details/193-0115-001","193-0115-001")</f>
        <v>193-0115-001</v>
      </c>
      <c r="B13869" s="8" t="s">
        <v>13434</v>
      </c>
    </row>
    <row r="13870" spans="1:2" x14ac:dyDescent="0.3">
      <c r="A13870" s="9" t="str">
        <f>HYPERLINK("http://www.eatonpowersource.com/products/configure/motors/details/193-0117-001","193-0117-001")</f>
        <v>193-0117-001</v>
      </c>
      <c r="B13870" s="10" t="s">
        <v>13435</v>
      </c>
    </row>
    <row r="13871" spans="1:2" x14ac:dyDescent="0.3">
      <c r="A13871" s="7" t="str">
        <f>HYPERLINK("http://www.eatonpowersource.com/products/configure/motors/details/193-0119-001","193-0119-001")</f>
        <v>193-0119-001</v>
      </c>
      <c r="B13871" s="8" t="s">
        <v>13436</v>
      </c>
    </row>
    <row r="13872" spans="1:2" x14ac:dyDescent="0.3">
      <c r="A13872" s="9" t="str">
        <f>HYPERLINK("http://www.eatonpowersource.com/products/configure/motors/details/193-0120-001","193-0120-001")</f>
        <v>193-0120-001</v>
      </c>
      <c r="B13872" s="10" t="s">
        <v>13437</v>
      </c>
    </row>
    <row r="13873" spans="1:2" x14ac:dyDescent="0.3">
      <c r="A13873" s="7" t="str">
        <f>HYPERLINK("http://www.eatonpowersource.com/products/configure/motors/details/193-0122-001","193-0122-001")</f>
        <v>193-0122-001</v>
      </c>
      <c r="B13873" s="8" t="s">
        <v>13438</v>
      </c>
    </row>
    <row r="13874" spans="1:2" x14ac:dyDescent="0.3">
      <c r="A13874" s="9" t="str">
        <f>HYPERLINK("http://www.eatonpowersource.com/products/configure/motors/details/193-0131-001","193-0131-001")</f>
        <v>193-0131-001</v>
      </c>
      <c r="B13874" s="10" t="s">
        <v>13439</v>
      </c>
    </row>
    <row r="13875" spans="1:2" x14ac:dyDescent="0.3">
      <c r="A13875" s="7" t="str">
        <f>HYPERLINK("http://www.eatonpowersource.com/products/configure/motors/details/193-0132-001","193-0132-001")</f>
        <v>193-0132-001</v>
      </c>
      <c r="B13875" s="8" t="s">
        <v>13440</v>
      </c>
    </row>
    <row r="13876" spans="1:2" x14ac:dyDescent="0.3">
      <c r="A13876" s="9" t="str">
        <f>HYPERLINK("http://www.eatonpowersource.com/products/configure/motors/details/193-0142-001","193-0142-001")</f>
        <v>193-0142-001</v>
      </c>
      <c r="B13876" s="10" t="s">
        <v>13441</v>
      </c>
    </row>
    <row r="13877" spans="1:2" x14ac:dyDescent="0.3">
      <c r="A13877" s="7" t="str">
        <f>HYPERLINK("http://www.eatonpowersource.com/products/configure/motors/details/193-0143-001","193-0143-001")</f>
        <v>193-0143-001</v>
      </c>
      <c r="B13877" s="8" t="s">
        <v>13442</v>
      </c>
    </row>
    <row r="13878" spans="1:2" x14ac:dyDescent="0.3">
      <c r="A13878" s="9" t="str">
        <f>HYPERLINK("http://www.eatonpowersource.com/products/configure/motors/details/193-0146-001","193-0146-001")</f>
        <v>193-0146-001</v>
      </c>
      <c r="B13878" s="10" t="s">
        <v>13443</v>
      </c>
    </row>
    <row r="13879" spans="1:2" x14ac:dyDescent="0.3">
      <c r="A13879" s="7" t="str">
        <f>HYPERLINK("http://www.eatonpowersource.com/products/configure/motors/details/193-0149-001","193-0149-001")</f>
        <v>193-0149-001</v>
      </c>
      <c r="B13879" s="8" t="s">
        <v>13444</v>
      </c>
    </row>
    <row r="13880" spans="1:2" x14ac:dyDescent="0.3">
      <c r="A13880" s="9" t="str">
        <f>HYPERLINK("http://www.eatonpowersource.com/products/configure/motors/details/193-0152-001","193-0152-001")</f>
        <v>193-0152-001</v>
      </c>
      <c r="B13880" s="10" t="s">
        <v>13445</v>
      </c>
    </row>
    <row r="13881" spans="1:2" x14ac:dyDescent="0.3">
      <c r="A13881" s="7" t="str">
        <f>HYPERLINK("http://www.eatonpowersource.com/products/configure/motors/details/193-0153-001","193-0153-001")</f>
        <v>193-0153-001</v>
      </c>
      <c r="B13881" s="8" t="s">
        <v>13446</v>
      </c>
    </row>
    <row r="13882" spans="1:2" x14ac:dyDescent="0.3">
      <c r="A13882" s="9" t="str">
        <f>HYPERLINK("http://www.eatonpowersource.com/products/configure/motors/details/193-0154-001","193-0154-001")</f>
        <v>193-0154-001</v>
      </c>
      <c r="B13882" s="10" t="s">
        <v>13447</v>
      </c>
    </row>
    <row r="13883" spans="1:2" x14ac:dyDescent="0.3">
      <c r="A13883" s="7" t="str">
        <f>HYPERLINK("http://www.eatonpowersource.com/products/configure/motors/details/193-0159-001","193-0159-001")</f>
        <v>193-0159-001</v>
      </c>
      <c r="B13883" s="8" t="s">
        <v>13448</v>
      </c>
    </row>
    <row r="13884" spans="1:2" x14ac:dyDescent="0.3">
      <c r="A13884" s="9" t="str">
        <f>HYPERLINK("http://www.eatonpowersource.com/products/configure/motors/details/193-0164-001","193-0164-001")</f>
        <v>193-0164-001</v>
      </c>
      <c r="B13884" s="10" t="s">
        <v>13449</v>
      </c>
    </row>
    <row r="13885" spans="1:2" x14ac:dyDescent="0.3">
      <c r="A13885" s="7" t="str">
        <f>HYPERLINK("http://www.eatonpowersource.com/products/configure/motors/details/193-0178-001","193-0178-001")</f>
        <v>193-0178-001</v>
      </c>
      <c r="B13885" s="8" t="s">
        <v>13450</v>
      </c>
    </row>
    <row r="13886" spans="1:2" x14ac:dyDescent="0.3">
      <c r="A13886" s="9" t="str">
        <f>HYPERLINK("http://www.eatonpowersource.com/products/configure/motors/details/193-0185-001","193-0185-001")</f>
        <v>193-0185-001</v>
      </c>
      <c r="B13886" s="10" t="s">
        <v>13451</v>
      </c>
    </row>
    <row r="13887" spans="1:2" x14ac:dyDescent="0.3">
      <c r="A13887" s="7" t="str">
        <f>HYPERLINK("http://www.eatonpowersource.com/products/configure/motors/details/193-0189-001","193-0189-001")</f>
        <v>193-0189-001</v>
      </c>
      <c r="B13887" s="8" t="s">
        <v>13452</v>
      </c>
    </row>
    <row r="13888" spans="1:2" x14ac:dyDescent="0.3">
      <c r="A13888" s="9" t="str">
        <f>HYPERLINK("http://www.eatonpowersource.com/products/configure/motors/details/193-0203-001","193-0203-001")</f>
        <v>193-0203-001</v>
      </c>
      <c r="B13888" s="10" t="s">
        <v>13453</v>
      </c>
    </row>
    <row r="13889" spans="1:2" x14ac:dyDescent="0.3">
      <c r="A13889" s="7" t="str">
        <f>HYPERLINK("http://www.eatonpowersource.com/products/configure/motors/details/193-0205-001","193-0205-001")</f>
        <v>193-0205-001</v>
      </c>
      <c r="B13889" s="8" t="s">
        <v>13454</v>
      </c>
    </row>
    <row r="13890" spans="1:2" x14ac:dyDescent="0.3">
      <c r="A13890" s="9" t="str">
        <f>HYPERLINK("http://www.eatonpowersource.com/products/configure/motors/details/193-0206-001","193-0206-001")</f>
        <v>193-0206-001</v>
      </c>
      <c r="B13890" s="10" t="s">
        <v>13455</v>
      </c>
    </row>
    <row r="13891" spans="1:2" x14ac:dyDescent="0.3">
      <c r="A13891" s="7" t="str">
        <f>HYPERLINK("http://www.eatonpowersource.com/products/configure/motors/details/193-0226-001","193-0226-001")</f>
        <v>193-0226-001</v>
      </c>
      <c r="B13891" s="8" t="s">
        <v>13456</v>
      </c>
    </row>
    <row r="13892" spans="1:2" x14ac:dyDescent="0.3">
      <c r="A13892" s="9" t="str">
        <f>HYPERLINK("http://www.eatonpowersource.com/products/configure/motors/details/193-0282-001","193-0282-001")</f>
        <v>193-0282-001</v>
      </c>
      <c r="B13892" s="10" t="s">
        <v>13457</v>
      </c>
    </row>
    <row r="13893" spans="1:2" x14ac:dyDescent="0.3">
      <c r="A13893" s="7" t="str">
        <f>HYPERLINK("http://www.eatonpowersource.com/products/configure/motors/details/193-0283-001","193-0283-001")</f>
        <v>193-0283-001</v>
      </c>
      <c r="B13893" s="8" t="s">
        <v>13458</v>
      </c>
    </row>
    <row r="13894" spans="1:2" x14ac:dyDescent="0.3">
      <c r="A13894" s="9" t="str">
        <f>HYPERLINK("http://www.eatonpowersource.com/products/configure/motors/details/193-0284-001","193-0284-001")</f>
        <v>193-0284-001</v>
      </c>
      <c r="B13894" s="10" t="s">
        <v>13459</v>
      </c>
    </row>
    <row r="13895" spans="1:2" x14ac:dyDescent="0.3">
      <c r="A13895" s="7" t="str">
        <f>HYPERLINK("http://www.eatonpowersource.com/products/configure/motors/details/193-0285-001","193-0285-001")</f>
        <v>193-0285-001</v>
      </c>
      <c r="B13895" s="8" t="s">
        <v>13460</v>
      </c>
    </row>
    <row r="13896" spans="1:2" x14ac:dyDescent="0.3">
      <c r="A13896" s="9" t="str">
        <f>HYPERLINK("http://www.eatonpowersource.com/products/configure/motors/details/193-0286-001","193-0286-001")</f>
        <v>193-0286-001</v>
      </c>
      <c r="B13896" s="10" t="s">
        <v>13461</v>
      </c>
    </row>
    <row r="13897" spans="1:2" x14ac:dyDescent="0.3">
      <c r="A13897" s="7" t="str">
        <f>HYPERLINK("http://www.eatonpowersource.com/products/configure/motors/details/193-0287-001","193-0287-001")</f>
        <v>193-0287-001</v>
      </c>
      <c r="B13897" s="8" t="s">
        <v>13462</v>
      </c>
    </row>
    <row r="13898" spans="1:2" x14ac:dyDescent="0.3">
      <c r="A13898" s="9" t="str">
        <f>HYPERLINK("http://www.eatonpowersource.com/products/configure/motors/details/193-0288-001","193-0288-001")</f>
        <v>193-0288-001</v>
      </c>
      <c r="B13898" s="10" t="s">
        <v>13463</v>
      </c>
    </row>
    <row r="13899" spans="1:2" x14ac:dyDescent="0.3">
      <c r="A13899" s="7" t="str">
        <f>HYPERLINK("http://www.eatonpowersource.com/products/configure/motors/details/193-0289-001","193-0289-001")</f>
        <v>193-0289-001</v>
      </c>
      <c r="B13899" s="8" t="s">
        <v>13464</v>
      </c>
    </row>
    <row r="13900" spans="1:2" x14ac:dyDescent="0.3">
      <c r="A13900" s="9" t="str">
        <f>HYPERLINK("http://www.eatonpowersource.com/products/configure/motors/details/193-0291-001","193-0291-001")</f>
        <v>193-0291-001</v>
      </c>
      <c r="B13900" s="10" t="s">
        <v>13465</v>
      </c>
    </row>
    <row r="13901" spans="1:2" x14ac:dyDescent="0.3">
      <c r="A13901" s="7" t="str">
        <f>HYPERLINK("http://www.eatonpowersource.com/products/configure/motors/details/193-0292-001","193-0292-001")</f>
        <v>193-0292-001</v>
      </c>
      <c r="B13901" s="8" t="s">
        <v>13466</v>
      </c>
    </row>
    <row r="13902" spans="1:2" x14ac:dyDescent="0.3">
      <c r="A13902" s="9" t="str">
        <f>HYPERLINK("http://www.eatonpowersource.com/products/configure/motors/details/193-0293-001","193-0293-001")</f>
        <v>193-0293-001</v>
      </c>
      <c r="B13902" s="10" t="s">
        <v>13467</v>
      </c>
    </row>
    <row r="13903" spans="1:2" x14ac:dyDescent="0.3">
      <c r="A13903" s="7" t="str">
        <f>HYPERLINK("http://www.eatonpowersource.com/products/configure/motors/details/193-0294-001","193-0294-001")</f>
        <v>193-0294-001</v>
      </c>
      <c r="B13903" s="8" t="s">
        <v>13468</v>
      </c>
    </row>
    <row r="13904" spans="1:2" x14ac:dyDescent="0.3">
      <c r="A13904" s="9" t="str">
        <f>HYPERLINK("http://www.eatonpowersource.com/products/configure/motors/details/193-0314-001","193-0314-001")</f>
        <v>193-0314-001</v>
      </c>
      <c r="B13904" s="10" t="s">
        <v>13469</v>
      </c>
    </row>
    <row r="13905" spans="1:2" x14ac:dyDescent="0.3">
      <c r="A13905" s="7" t="str">
        <f>HYPERLINK("http://www.eatonpowersource.com/products/configure/motors/details/193-0315-001","193-0315-001")</f>
        <v>193-0315-001</v>
      </c>
      <c r="B13905" s="8" t="s">
        <v>13470</v>
      </c>
    </row>
    <row r="13906" spans="1:2" x14ac:dyDescent="0.3">
      <c r="A13906" s="9" t="str">
        <f>HYPERLINK("http://www.eatonpowersource.com/products/configure/motors/details/193-0316-001","193-0316-001")</f>
        <v>193-0316-001</v>
      </c>
      <c r="B13906" s="10" t="s">
        <v>13471</v>
      </c>
    </row>
    <row r="13907" spans="1:2" x14ac:dyDescent="0.3">
      <c r="A13907" s="7" t="str">
        <f>HYPERLINK("http://www.eatonpowersource.com/products/configure/motors/details/193-0332-001","193-0332-001")</f>
        <v>193-0332-001</v>
      </c>
      <c r="B13907" s="8" t="s">
        <v>13472</v>
      </c>
    </row>
    <row r="13908" spans="1:2" x14ac:dyDescent="0.3">
      <c r="A13908" s="9" t="str">
        <f>HYPERLINK("http://www.eatonpowersource.com/products/configure/motors/details/193-0333-001","193-0333-001")</f>
        <v>193-0333-001</v>
      </c>
      <c r="B13908" s="10" t="s">
        <v>13473</v>
      </c>
    </row>
    <row r="13909" spans="1:2" x14ac:dyDescent="0.3">
      <c r="A13909" s="7" t="str">
        <f>HYPERLINK("http://www.eatonpowersource.com/products/configure/motors/details/193-0341-001","193-0341-001")</f>
        <v>193-0341-001</v>
      </c>
      <c r="B13909" s="8" t="s">
        <v>13474</v>
      </c>
    </row>
    <row r="13910" spans="1:2" x14ac:dyDescent="0.3">
      <c r="A13910" s="9" t="str">
        <f>HYPERLINK("http://www.eatonpowersource.com/products/configure/motors/details/193-0347-001","193-0347-001")</f>
        <v>193-0347-001</v>
      </c>
      <c r="B13910" s="10" t="s">
        <v>13475</v>
      </c>
    </row>
    <row r="13911" spans="1:2" x14ac:dyDescent="0.3">
      <c r="A13911" s="7" t="str">
        <f>HYPERLINK("http://www.eatonpowersource.com/products/configure/motors/details/193-0348-001","193-0348-001")</f>
        <v>193-0348-001</v>
      </c>
      <c r="B13911" s="8" t="s">
        <v>13476</v>
      </c>
    </row>
    <row r="13912" spans="1:2" x14ac:dyDescent="0.3">
      <c r="A13912" s="9" t="str">
        <f>HYPERLINK("http://www.eatonpowersource.com/products/configure/motors/details/193-0352-001","193-0352-001")</f>
        <v>193-0352-001</v>
      </c>
      <c r="B13912" s="10" t="s">
        <v>13477</v>
      </c>
    </row>
    <row r="13913" spans="1:2" x14ac:dyDescent="0.3">
      <c r="A13913" s="7" t="str">
        <f>HYPERLINK("http://www.eatonpowersource.com/products/configure/motors/details/193-0354-001","193-0354-001")</f>
        <v>193-0354-001</v>
      </c>
      <c r="B13913" s="8" t="s">
        <v>13478</v>
      </c>
    </row>
    <row r="13914" spans="1:2" x14ac:dyDescent="0.3">
      <c r="A13914" s="9" t="str">
        <f>HYPERLINK("http://www.eatonpowersource.com/products/configure/motors/details/193-0360-001","193-0360-001")</f>
        <v>193-0360-001</v>
      </c>
      <c r="B13914" s="10" t="s">
        <v>13479</v>
      </c>
    </row>
    <row r="13915" spans="1:2" x14ac:dyDescent="0.3">
      <c r="A13915" s="7" t="str">
        <f>HYPERLINK("http://www.eatonpowersource.com/products/configure/motors/details/193-0366-001","193-0366-001")</f>
        <v>193-0366-001</v>
      </c>
      <c r="B13915" s="8" t="s">
        <v>13480</v>
      </c>
    </row>
    <row r="13916" spans="1:2" x14ac:dyDescent="0.3">
      <c r="A13916" s="9" t="str">
        <f>HYPERLINK("http://www.eatonpowersource.com/products/configure/motors/details/193-0372-001","193-0372-001")</f>
        <v>193-0372-001</v>
      </c>
      <c r="B13916" s="10" t="s">
        <v>13481</v>
      </c>
    </row>
    <row r="13917" spans="1:2" x14ac:dyDescent="0.3">
      <c r="A13917" s="7" t="str">
        <f>HYPERLINK("http://www.eatonpowersource.com/products/configure/motors/details/193-0375-001","193-0375-001")</f>
        <v>193-0375-001</v>
      </c>
      <c r="B13917" s="8" t="s">
        <v>13482</v>
      </c>
    </row>
    <row r="13918" spans="1:2" x14ac:dyDescent="0.3">
      <c r="A13918" s="9" t="str">
        <f>HYPERLINK("http://www.eatonpowersource.com/products/configure/motors/details/193-0377-001","193-0377-001")</f>
        <v>193-0377-001</v>
      </c>
      <c r="B13918" s="10" t="s">
        <v>13483</v>
      </c>
    </row>
    <row r="13919" spans="1:2" x14ac:dyDescent="0.3">
      <c r="A13919" s="7" t="str">
        <f>HYPERLINK("http://www.eatonpowersource.com/products/configure/motors/details/193-0390-001","193-0390-001")</f>
        <v>193-0390-001</v>
      </c>
      <c r="B13919" s="8" t="s">
        <v>13484</v>
      </c>
    </row>
    <row r="13920" spans="1:2" x14ac:dyDescent="0.3">
      <c r="A13920" s="9" t="str">
        <f>HYPERLINK("http://www.eatonpowersource.com/products/configure/motors/details/193-0391-001","193-0391-001")</f>
        <v>193-0391-001</v>
      </c>
      <c r="B13920" s="10" t="s">
        <v>13485</v>
      </c>
    </row>
    <row r="13921" spans="1:2" x14ac:dyDescent="0.3">
      <c r="A13921" s="7" t="str">
        <f>HYPERLINK("http://www.eatonpowersource.com/products/configure/motors/details/193-0400-001","193-0400-001")</f>
        <v>193-0400-001</v>
      </c>
      <c r="B13921" s="8" t="s">
        <v>13486</v>
      </c>
    </row>
    <row r="13922" spans="1:2" x14ac:dyDescent="0.3">
      <c r="A13922" s="9" t="str">
        <f>HYPERLINK("http://www.eatonpowersource.com/products/configure/motors/details/193-0401-001","193-0401-001")</f>
        <v>193-0401-001</v>
      </c>
      <c r="B13922" s="10" t="s">
        <v>13487</v>
      </c>
    </row>
    <row r="13923" spans="1:2" x14ac:dyDescent="0.3">
      <c r="A13923" s="7" t="str">
        <f>HYPERLINK("http://www.eatonpowersource.com/products/configure/motors/details/193-0402-001","193-0402-001")</f>
        <v>193-0402-001</v>
      </c>
      <c r="B13923" s="8" t="s">
        <v>13488</v>
      </c>
    </row>
    <row r="13924" spans="1:2" x14ac:dyDescent="0.3">
      <c r="A13924" s="9" t="str">
        <f>HYPERLINK("http://www.eatonpowersource.com/products/configure/motors/details/193-0403-001","193-0403-001")</f>
        <v>193-0403-001</v>
      </c>
      <c r="B13924" s="10" t="s">
        <v>13489</v>
      </c>
    </row>
    <row r="13925" spans="1:2" x14ac:dyDescent="0.3">
      <c r="A13925" s="7" t="str">
        <f>HYPERLINK("http://www.eatonpowersource.com/products/configure/motors/details/193-0405-001","193-0405-001")</f>
        <v>193-0405-001</v>
      </c>
      <c r="B13925" s="8" t="s">
        <v>13490</v>
      </c>
    </row>
    <row r="13926" spans="1:2" x14ac:dyDescent="0.3">
      <c r="A13926" s="9" t="str">
        <f>HYPERLINK("http://www.eatonpowersource.com/products/configure/motors/details/193-0407-001","193-0407-001")</f>
        <v>193-0407-001</v>
      </c>
      <c r="B13926" s="10" t="s">
        <v>13491</v>
      </c>
    </row>
    <row r="13927" spans="1:2" x14ac:dyDescent="0.3">
      <c r="A13927" s="7" t="str">
        <f>HYPERLINK("http://www.eatonpowersource.com/products/configure/motors/details/193-0408-001","193-0408-001")</f>
        <v>193-0408-001</v>
      </c>
      <c r="B13927" s="8" t="s">
        <v>13492</v>
      </c>
    </row>
    <row r="13928" spans="1:2" x14ac:dyDescent="0.3">
      <c r="A13928" s="9" t="str">
        <f>HYPERLINK("http://www.eatonpowersource.com/products/configure/motors/details/193-0411-001","193-0411-001")</f>
        <v>193-0411-001</v>
      </c>
      <c r="B13928" s="10" t="s">
        <v>13493</v>
      </c>
    </row>
    <row r="13929" spans="1:2" x14ac:dyDescent="0.3">
      <c r="A13929" s="7" t="str">
        <f>HYPERLINK("http://www.eatonpowersource.com/products/configure/motors/details/193-0412-001","193-0412-001")</f>
        <v>193-0412-001</v>
      </c>
      <c r="B13929" s="8" t="s">
        <v>13494</v>
      </c>
    </row>
    <row r="13930" spans="1:2" x14ac:dyDescent="0.3">
      <c r="A13930" s="9" t="str">
        <f>HYPERLINK("http://www.eatonpowersource.com/products/configure/motors/details/193-0414-001","193-0414-001")</f>
        <v>193-0414-001</v>
      </c>
      <c r="B13930" s="10" t="s">
        <v>13495</v>
      </c>
    </row>
    <row r="13931" spans="1:2" x14ac:dyDescent="0.3">
      <c r="A13931" s="7" t="str">
        <f>HYPERLINK("http://www.eatonpowersource.com/products/configure/motors/details/193-0416-001","193-0416-001")</f>
        <v>193-0416-001</v>
      </c>
      <c r="B13931" s="8" t="s">
        <v>13496</v>
      </c>
    </row>
    <row r="13932" spans="1:2" x14ac:dyDescent="0.3">
      <c r="A13932" s="9" t="str">
        <f>HYPERLINK("http://www.eatonpowersource.com/products/configure/motors/details/193-0417-001","193-0417-001")</f>
        <v>193-0417-001</v>
      </c>
      <c r="B13932" s="10" t="s">
        <v>13497</v>
      </c>
    </row>
    <row r="13933" spans="1:2" x14ac:dyDescent="0.3">
      <c r="A13933" s="7" t="str">
        <f>HYPERLINK("http://www.eatonpowersource.com/products/configure/motors/details/193-0418-001","193-0418-001")</f>
        <v>193-0418-001</v>
      </c>
      <c r="B13933" s="8" t="s">
        <v>13498</v>
      </c>
    </row>
    <row r="13934" spans="1:2" x14ac:dyDescent="0.3">
      <c r="A13934" s="9" t="str">
        <f>HYPERLINK("http://www.eatonpowersource.com/products/configure/motors/details/193-0419-001","193-0419-001")</f>
        <v>193-0419-001</v>
      </c>
      <c r="B13934" s="10" t="s">
        <v>13499</v>
      </c>
    </row>
    <row r="13935" spans="1:2" x14ac:dyDescent="0.3">
      <c r="A13935" s="7" t="str">
        <f>HYPERLINK("http://www.eatonpowersource.com/products/configure/motors/details/193-0423-001","193-0423-001")</f>
        <v>193-0423-001</v>
      </c>
      <c r="B13935" s="8" t="s">
        <v>13500</v>
      </c>
    </row>
    <row r="13936" spans="1:2" x14ac:dyDescent="0.3">
      <c r="A13936" s="9" t="str">
        <f>HYPERLINK("http://www.eatonpowersource.com/products/configure/motors/details/193-0429-001","193-0429-001")</f>
        <v>193-0429-001</v>
      </c>
      <c r="B13936" s="10" t="s">
        <v>13501</v>
      </c>
    </row>
    <row r="13937" spans="1:2" x14ac:dyDescent="0.3">
      <c r="A13937" s="7" t="str">
        <f>HYPERLINK("http://www.eatonpowersource.com/products/configure/motors/details/109-1006-006","109-1006-006")</f>
        <v>109-1006-006</v>
      </c>
      <c r="B13937" s="8" t="s">
        <v>13502</v>
      </c>
    </row>
    <row r="13938" spans="1:2" x14ac:dyDescent="0.3">
      <c r="A13938" s="9" t="str">
        <f>HYPERLINK("http://www.eatonpowersource.com/products/configure/motors/details/109-1012-006","109-1012-006")</f>
        <v>109-1012-006</v>
      </c>
      <c r="B13938" s="10" t="s">
        <v>13503</v>
      </c>
    </row>
    <row r="13939" spans="1:2" x14ac:dyDescent="0.3">
      <c r="A13939" s="7" t="str">
        <f>HYPERLINK("http://www.eatonpowersource.com/products/configure/motors/details/109-1052-006","109-1052-006")</f>
        <v>109-1052-006</v>
      </c>
      <c r="B13939" s="8" t="s">
        <v>13504</v>
      </c>
    </row>
    <row r="13940" spans="1:2" x14ac:dyDescent="0.3">
      <c r="A13940" s="9" t="str">
        <f>HYPERLINK("http://www.eatonpowersource.com/products/configure/motors/details/109-1053-006","109-1053-006")</f>
        <v>109-1053-006</v>
      </c>
      <c r="B13940" s="10" t="s">
        <v>13505</v>
      </c>
    </row>
    <row r="13941" spans="1:2" x14ac:dyDescent="0.3">
      <c r="A13941" s="7" t="str">
        <f>HYPERLINK("http://www.eatonpowersource.com/products/configure/motors/details/109-1055-006","109-1055-006")</f>
        <v>109-1055-006</v>
      </c>
      <c r="B13941" s="8" t="s">
        <v>13506</v>
      </c>
    </row>
    <row r="13942" spans="1:2" x14ac:dyDescent="0.3">
      <c r="A13942" s="9" t="str">
        <f>HYPERLINK("http://www.eatonpowersource.com/products/configure/motors/details/109-1064-006","109-1064-006")</f>
        <v>109-1064-006</v>
      </c>
      <c r="B13942" s="10" t="s">
        <v>13507</v>
      </c>
    </row>
    <row r="13943" spans="1:2" x14ac:dyDescent="0.3">
      <c r="A13943" s="7" t="str">
        <f>HYPERLINK("http://www.eatonpowersource.com/products/configure/motors/details/109-1094-006","109-1094-006")</f>
        <v>109-1094-006</v>
      </c>
      <c r="B13943" s="8" t="s">
        <v>13508</v>
      </c>
    </row>
    <row r="13944" spans="1:2" x14ac:dyDescent="0.3">
      <c r="A13944" s="9" t="str">
        <f>HYPERLINK("http://www.eatonpowersource.com/products/configure/motors/details/109-1100-006","109-1100-006")</f>
        <v>109-1100-006</v>
      </c>
      <c r="B13944" s="10" t="s">
        <v>13509</v>
      </c>
    </row>
    <row r="13945" spans="1:2" x14ac:dyDescent="0.3">
      <c r="A13945" s="7" t="str">
        <f>HYPERLINK("http://www.eatonpowersource.com/products/configure/motors/details/109-1101-006","109-1101-006")</f>
        <v>109-1101-006</v>
      </c>
      <c r="B13945" s="8" t="s">
        <v>13510</v>
      </c>
    </row>
    <row r="13946" spans="1:2" x14ac:dyDescent="0.3">
      <c r="A13946" s="9" t="str">
        <f>HYPERLINK("http://www.eatonpowersource.com/products/configure/motors/details/109-1102-006","109-1102-006")</f>
        <v>109-1102-006</v>
      </c>
      <c r="B13946" s="10" t="s">
        <v>13511</v>
      </c>
    </row>
    <row r="13947" spans="1:2" x14ac:dyDescent="0.3">
      <c r="A13947" s="7" t="str">
        <f>HYPERLINK("http://www.eatonpowersource.com/products/configure/motors/details/109-1103-006","109-1103-006")</f>
        <v>109-1103-006</v>
      </c>
      <c r="B13947" s="8" t="s">
        <v>13512</v>
      </c>
    </row>
    <row r="13948" spans="1:2" x14ac:dyDescent="0.3">
      <c r="A13948" s="9" t="str">
        <f>HYPERLINK("http://www.eatonpowersource.com/products/configure/motors/details/109-1104-006","109-1104-006")</f>
        <v>109-1104-006</v>
      </c>
      <c r="B13948" s="10" t="s">
        <v>13513</v>
      </c>
    </row>
    <row r="13949" spans="1:2" x14ac:dyDescent="0.3">
      <c r="A13949" s="7" t="str">
        <f>HYPERLINK("http://www.eatonpowersource.com/products/configure/motors/details/109-1105-006","109-1105-006")</f>
        <v>109-1105-006</v>
      </c>
      <c r="B13949" s="8" t="s">
        <v>13514</v>
      </c>
    </row>
    <row r="13950" spans="1:2" x14ac:dyDescent="0.3">
      <c r="A13950" s="9" t="str">
        <f>HYPERLINK("http://www.eatonpowersource.com/products/configure/motors/details/109-1106-006","109-1106-006")</f>
        <v>109-1106-006</v>
      </c>
      <c r="B13950" s="10" t="s">
        <v>13515</v>
      </c>
    </row>
    <row r="13951" spans="1:2" x14ac:dyDescent="0.3">
      <c r="A13951" s="7" t="str">
        <f>HYPERLINK("http://www.eatonpowersource.com/products/configure/motors/details/109-1109-006","109-1109-006")</f>
        <v>109-1109-006</v>
      </c>
      <c r="B13951" s="8" t="s">
        <v>13516</v>
      </c>
    </row>
    <row r="13952" spans="1:2" x14ac:dyDescent="0.3">
      <c r="A13952" s="9" t="str">
        <f>HYPERLINK("http://www.eatonpowersource.com/products/configure/motors/details/109-1110-006","109-1110-006")</f>
        <v>109-1110-006</v>
      </c>
      <c r="B13952" s="10" t="s">
        <v>13517</v>
      </c>
    </row>
    <row r="13953" spans="1:2" x14ac:dyDescent="0.3">
      <c r="A13953" s="7" t="str">
        <f>HYPERLINK("http://www.eatonpowersource.com/products/configure/motors/details/109-1111-006","109-1111-006")</f>
        <v>109-1111-006</v>
      </c>
      <c r="B13953" s="8" t="s">
        <v>13518</v>
      </c>
    </row>
    <row r="13954" spans="1:2" x14ac:dyDescent="0.3">
      <c r="A13954" s="9" t="str">
        <f>HYPERLINK("http://www.eatonpowersource.com/products/configure/motors/details/109-1114-006","109-1114-006")</f>
        <v>109-1114-006</v>
      </c>
      <c r="B13954" s="10" t="s">
        <v>13519</v>
      </c>
    </row>
    <row r="13955" spans="1:2" x14ac:dyDescent="0.3">
      <c r="A13955" s="7" t="str">
        <f>HYPERLINK("http://www.eatonpowersource.com/products/configure/motors/details/109-1115-006","109-1115-006")</f>
        <v>109-1115-006</v>
      </c>
      <c r="B13955" s="8" t="s">
        <v>13520</v>
      </c>
    </row>
    <row r="13956" spans="1:2" x14ac:dyDescent="0.3">
      <c r="A13956" s="9" t="str">
        <f>HYPERLINK("http://www.eatonpowersource.com/products/configure/motors/details/109-1116-006","109-1116-006")</f>
        <v>109-1116-006</v>
      </c>
      <c r="B13956" s="10" t="s">
        <v>13521</v>
      </c>
    </row>
    <row r="13957" spans="1:2" x14ac:dyDescent="0.3">
      <c r="A13957" s="7" t="str">
        <f>HYPERLINK("http://www.eatonpowersource.com/products/configure/motors/details/109-1117-006","109-1117-006")</f>
        <v>109-1117-006</v>
      </c>
      <c r="B13957" s="8" t="s">
        <v>13522</v>
      </c>
    </row>
    <row r="13958" spans="1:2" x14ac:dyDescent="0.3">
      <c r="A13958" s="9" t="str">
        <f>HYPERLINK("http://www.eatonpowersource.com/products/configure/motors/details/109-1118-006","109-1118-006")</f>
        <v>109-1118-006</v>
      </c>
      <c r="B13958" s="10" t="s">
        <v>13523</v>
      </c>
    </row>
    <row r="13959" spans="1:2" x14ac:dyDescent="0.3">
      <c r="A13959" s="7" t="str">
        <f>HYPERLINK("http://www.eatonpowersource.com/products/configure/motors/details/109-1119-006","109-1119-006")</f>
        <v>109-1119-006</v>
      </c>
      <c r="B13959" s="8" t="s">
        <v>13524</v>
      </c>
    </row>
    <row r="13960" spans="1:2" x14ac:dyDescent="0.3">
      <c r="A13960" s="9" t="str">
        <f>HYPERLINK("http://www.eatonpowersource.com/products/configure/motors/details/109-1120-006","109-1120-006")</f>
        <v>109-1120-006</v>
      </c>
      <c r="B13960" s="10" t="s">
        <v>13525</v>
      </c>
    </row>
    <row r="13961" spans="1:2" x14ac:dyDescent="0.3">
      <c r="A13961" s="7" t="str">
        <f>HYPERLINK("http://www.eatonpowersource.com/products/configure/motors/details/109-1158-006","109-1158-006")</f>
        <v>109-1158-006</v>
      </c>
      <c r="B13961" s="8" t="s">
        <v>13526</v>
      </c>
    </row>
    <row r="13962" spans="1:2" x14ac:dyDescent="0.3">
      <c r="A13962" s="9" t="str">
        <f>HYPERLINK("http://www.eatonpowersource.com/products/configure/motors/details/109-1159-006","109-1159-006")</f>
        <v>109-1159-006</v>
      </c>
      <c r="B13962" s="10" t="s">
        <v>13527</v>
      </c>
    </row>
    <row r="13963" spans="1:2" x14ac:dyDescent="0.3">
      <c r="A13963" s="7" t="str">
        <f>HYPERLINK("http://www.eatonpowersource.com/products/configure/motors/details/109-1173-006","109-1173-006")</f>
        <v>109-1173-006</v>
      </c>
      <c r="B13963" s="8" t="s">
        <v>13528</v>
      </c>
    </row>
    <row r="13964" spans="1:2" x14ac:dyDescent="0.3">
      <c r="A13964" s="9" t="str">
        <f>HYPERLINK("http://www.eatonpowersource.com/products/configure/motors/details/109-1184-006","109-1184-006")</f>
        <v>109-1184-006</v>
      </c>
      <c r="B13964" s="10" t="s">
        <v>13529</v>
      </c>
    </row>
    <row r="13965" spans="1:2" x14ac:dyDescent="0.3">
      <c r="A13965" s="7" t="str">
        <f>HYPERLINK("http://www.eatonpowersource.com/products/configure/motors/details/109-1185-006","109-1185-006")</f>
        <v>109-1185-006</v>
      </c>
      <c r="B13965" s="8" t="s">
        <v>13530</v>
      </c>
    </row>
    <row r="13966" spans="1:2" x14ac:dyDescent="0.3">
      <c r="A13966" s="9" t="str">
        <f>HYPERLINK("http://www.eatonpowersource.com/products/configure/motors/details/109-1189-006","109-1189-006")</f>
        <v>109-1189-006</v>
      </c>
      <c r="B13966" s="10" t="s">
        <v>13531</v>
      </c>
    </row>
    <row r="13967" spans="1:2" x14ac:dyDescent="0.3">
      <c r="A13967" s="7" t="str">
        <f>HYPERLINK("http://www.eatonpowersource.com/products/configure/motors/details/109-1190-006","109-1190-006")</f>
        <v>109-1190-006</v>
      </c>
      <c r="B13967" s="8" t="s">
        <v>13532</v>
      </c>
    </row>
    <row r="13968" spans="1:2" x14ac:dyDescent="0.3">
      <c r="A13968" s="9" t="str">
        <f>HYPERLINK("http://www.eatonpowersource.com/products/configure/motors/details/109-1191-006","109-1191-006")</f>
        <v>109-1191-006</v>
      </c>
      <c r="B13968" s="10" t="s">
        <v>13533</v>
      </c>
    </row>
    <row r="13969" spans="1:2" x14ac:dyDescent="0.3">
      <c r="A13969" s="7" t="str">
        <f>HYPERLINK("http://www.eatonpowersource.com/products/configure/motors/details/109-1192-006","109-1192-006")</f>
        <v>109-1192-006</v>
      </c>
      <c r="B13969" s="8" t="s">
        <v>13534</v>
      </c>
    </row>
    <row r="13970" spans="1:2" x14ac:dyDescent="0.3">
      <c r="A13970" s="9" t="str">
        <f>HYPERLINK("http://www.eatonpowersource.com/products/configure/motors/details/109-1193-006","109-1193-006")</f>
        <v>109-1193-006</v>
      </c>
      <c r="B13970" s="10" t="s">
        <v>13535</v>
      </c>
    </row>
    <row r="13971" spans="1:2" x14ac:dyDescent="0.3">
      <c r="A13971" s="7" t="str">
        <f>HYPERLINK("http://www.eatonpowersource.com/products/configure/motors/details/109-1194-006","109-1194-006")</f>
        <v>109-1194-006</v>
      </c>
      <c r="B13971" s="8" t="s">
        <v>13536</v>
      </c>
    </row>
    <row r="13972" spans="1:2" x14ac:dyDescent="0.3">
      <c r="A13972" s="9" t="str">
        <f>HYPERLINK("http://www.eatonpowersource.com/products/configure/motors/details/109-1195-006","109-1195-006")</f>
        <v>109-1195-006</v>
      </c>
      <c r="B13972" s="10" t="s">
        <v>13537</v>
      </c>
    </row>
    <row r="13973" spans="1:2" x14ac:dyDescent="0.3">
      <c r="A13973" s="7" t="str">
        <f>HYPERLINK("http://www.eatonpowersource.com/products/configure/motors/details/109-1196-006","109-1196-006")</f>
        <v>109-1196-006</v>
      </c>
      <c r="B13973" s="8" t="s">
        <v>13538</v>
      </c>
    </row>
    <row r="13974" spans="1:2" x14ac:dyDescent="0.3">
      <c r="A13974" s="9" t="str">
        <f>HYPERLINK("http://www.eatonpowersource.com/products/configure/motors/details/109-1203-006","109-1203-006")</f>
        <v>109-1203-006</v>
      </c>
      <c r="B13974" s="10" t="s">
        <v>13539</v>
      </c>
    </row>
    <row r="13975" spans="1:2" x14ac:dyDescent="0.3">
      <c r="A13975" s="7" t="str">
        <f>HYPERLINK("http://www.eatonpowersource.com/products/configure/motors/details/109-1212-006","109-1212-006")</f>
        <v>109-1212-006</v>
      </c>
      <c r="B13975" s="8" t="s">
        <v>13540</v>
      </c>
    </row>
    <row r="13976" spans="1:2" x14ac:dyDescent="0.3">
      <c r="A13976" s="9" t="str">
        <f>HYPERLINK("http://www.eatonpowersource.com/products/configure/motors/details/109-1215-006","109-1215-006")</f>
        <v>109-1215-006</v>
      </c>
      <c r="B13976" s="10" t="s">
        <v>13541</v>
      </c>
    </row>
    <row r="13977" spans="1:2" x14ac:dyDescent="0.3">
      <c r="A13977" s="7" t="str">
        <f>HYPERLINK("http://www.eatonpowersource.com/products/configure/motors/details/109-1219-006","109-1219-006")</f>
        <v>109-1219-006</v>
      </c>
      <c r="B13977" s="8" t="s">
        <v>13542</v>
      </c>
    </row>
    <row r="13978" spans="1:2" x14ac:dyDescent="0.3">
      <c r="A13978" s="9" t="str">
        <f>HYPERLINK("http://www.eatonpowersource.com/products/configure/motors/details/109-1221-006","109-1221-006")</f>
        <v>109-1221-006</v>
      </c>
      <c r="B13978" s="10" t="s">
        <v>13543</v>
      </c>
    </row>
    <row r="13979" spans="1:2" x14ac:dyDescent="0.3">
      <c r="A13979" s="7" t="str">
        <f>HYPERLINK("http://www.eatonpowersource.com/products/configure/motors/details/109-1224-006","109-1224-006")</f>
        <v>109-1224-006</v>
      </c>
      <c r="B13979" s="8" t="s">
        <v>13544</v>
      </c>
    </row>
    <row r="13980" spans="1:2" x14ac:dyDescent="0.3">
      <c r="A13980" s="9" t="str">
        <f>HYPERLINK("http://www.eatonpowersource.com/products/configure/motors/details/109-1225-006","109-1225-006")</f>
        <v>109-1225-006</v>
      </c>
      <c r="B13980" s="10" t="s">
        <v>13545</v>
      </c>
    </row>
    <row r="13981" spans="1:2" x14ac:dyDescent="0.3">
      <c r="A13981" s="7" t="str">
        <f>HYPERLINK("http://www.eatonpowersource.com/products/configure/motors/details/109-1227-006","109-1227-006")</f>
        <v>109-1227-006</v>
      </c>
      <c r="B13981" s="8" t="s">
        <v>13546</v>
      </c>
    </row>
    <row r="13982" spans="1:2" x14ac:dyDescent="0.3">
      <c r="A13982" s="9" t="str">
        <f>HYPERLINK("http://www.eatonpowersource.com/products/configure/motors/details/109-1230-006","109-1230-006")</f>
        <v>109-1230-006</v>
      </c>
      <c r="B13982" s="10" t="s">
        <v>13547</v>
      </c>
    </row>
    <row r="13983" spans="1:2" x14ac:dyDescent="0.3">
      <c r="A13983" s="7" t="str">
        <f>HYPERLINK("http://www.eatonpowersource.com/products/configure/motors/details/109-1231-006","109-1231-006")</f>
        <v>109-1231-006</v>
      </c>
      <c r="B13983" s="8" t="s">
        <v>13548</v>
      </c>
    </row>
    <row r="13984" spans="1:2" x14ac:dyDescent="0.3">
      <c r="A13984" s="9" t="str">
        <f>HYPERLINK("http://www.eatonpowersource.com/products/configure/motors/details/109-1233-006","109-1233-006")</f>
        <v>109-1233-006</v>
      </c>
      <c r="B13984" s="10" t="s">
        <v>13549</v>
      </c>
    </row>
    <row r="13985" spans="1:2" x14ac:dyDescent="0.3">
      <c r="A13985" s="7" t="str">
        <f>HYPERLINK("http://www.eatonpowersource.com/products/configure/motors/details/109-1234-006","109-1234-006")</f>
        <v>109-1234-006</v>
      </c>
      <c r="B13985" s="8" t="s">
        <v>13550</v>
      </c>
    </row>
    <row r="13986" spans="1:2" x14ac:dyDescent="0.3">
      <c r="A13986" s="9" t="str">
        <f>HYPERLINK("http://www.eatonpowersource.com/products/configure/motors/details/109-1235-006","109-1235-006")</f>
        <v>109-1235-006</v>
      </c>
      <c r="B13986" s="10" t="s">
        <v>13551</v>
      </c>
    </row>
    <row r="13987" spans="1:2" x14ac:dyDescent="0.3">
      <c r="A13987" s="7" t="str">
        <f>HYPERLINK("http://www.eatonpowersource.com/products/configure/motors/details/109-1236-006","109-1236-006")</f>
        <v>109-1236-006</v>
      </c>
      <c r="B13987" s="8" t="s">
        <v>13552</v>
      </c>
    </row>
    <row r="13988" spans="1:2" x14ac:dyDescent="0.3">
      <c r="A13988" s="9" t="str">
        <f>HYPERLINK("http://www.eatonpowersource.com/products/configure/motors/details/109-1238-006","109-1238-006")</f>
        <v>109-1238-006</v>
      </c>
      <c r="B13988" s="10" t="s">
        <v>13553</v>
      </c>
    </row>
    <row r="13989" spans="1:2" x14ac:dyDescent="0.3">
      <c r="A13989" s="7" t="str">
        <f>HYPERLINK("http://www.eatonpowersource.com/products/configure/motors/details/109-1244-006","109-1244-006")</f>
        <v>109-1244-006</v>
      </c>
      <c r="B13989" s="8" t="s">
        <v>13554</v>
      </c>
    </row>
    <row r="13990" spans="1:2" x14ac:dyDescent="0.3">
      <c r="A13990" s="9" t="str">
        <f>HYPERLINK("http://www.eatonpowersource.com/products/configure/motors/details/109-1245-006","109-1245-006")</f>
        <v>109-1245-006</v>
      </c>
      <c r="B13990" s="10" t="s">
        <v>13555</v>
      </c>
    </row>
    <row r="13991" spans="1:2" x14ac:dyDescent="0.3">
      <c r="A13991" s="7" t="str">
        <f>HYPERLINK("http://www.eatonpowersource.com/products/configure/motors/details/109-1246-006","109-1246-006")</f>
        <v>109-1246-006</v>
      </c>
      <c r="B13991" s="8" t="s">
        <v>13556</v>
      </c>
    </row>
    <row r="13992" spans="1:2" x14ac:dyDescent="0.3">
      <c r="A13992" s="9" t="str">
        <f>HYPERLINK("http://www.eatonpowersource.com/products/configure/motors/details/109-1247-006","109-1247-006")</f>
        <v>109-1247-006</v>
      </c>
      <c r="B13992" s="10" t="s">
        <v>13557</v>
      </c>
    </row>
    <row r="13993" spans="1:2" x14ac:dyDescent="0.3">
      <c r="A13993" s="7" t="str">
        <f>HYPERLINK("http://www.eatonpowersource.com/products/configure/motors/details/109-1248-006","109-1248-006")</f>
        <v>109-1248-006</v>
      </c>
      <c r="B13993" s="8" t="s">
        <v>13558</v>
      </c>
    </row>
    <row r="13994" spans="1:2" x14ac:dyDescent="0.3">
      <c r="A13994" s="9" t="str">
        <f>HYPERLINK("http://www.eatonpowersource.com/products/configure/motors/details/109-1249-006","109-1249-006")</f>
        <v>109-1249-006</v>
      </c>
      <c r="B13994" s="10" t="s">
        <v>13559</v>
      </c>
    </row>
    <row r="13995" spans="1:2" x14ac:dyDescent="0.3">
      <c r="A13995" s="7" t="str">
        <f>HYPERLINK("http://www.eatonpowersource.com/products/configure/motors/details/109-1256-006","109-1256-006")</f>
        <v>109-1256-006</v>
      </c>
      <c r="B13995" s="8" t="s">
        <v>13560</v>
      </c>
    </row>
    <row r="13996" spans="1:2" x14ac:dyDescent="0.3">
      <c r="A13996" s="9" t="str">
        <f>HYPERLINK("http://www.eatonpowersource.com/products/configure/motors/details/109-1257-006","109-1257-006")</f>
        <v>109-1257-006</v>
      </c>
      <c r="B13996" s="10" t="s">
        <v>13561</v>
      </c>
    </row>
    <row r="13997" spans="1:2" x14ac:dyDescent="0.3">
      <c r="A13997" s="7" t="str">
        <f>HYPERLINK("http://www.eatonpowersource.com/products/configure/motors/details/109-1258-006","109-1258-006")</f>
        <v>109-1258-006</v>
      </c>
      <c r="B13997" s="8" t="s">
        <v>13562</v>
      </c>
    </row>
    <row r="13998" spans="1:2" x14ac:dyDescent="0.3">
      <c r="A13998" s="9" t="str">
        <f>HYPERLINK("http://www.eatonpowersource.com/products/configure/motors/details/109-1260-006","109-1260-006")</f>
        <v>109-1260-006</v>
      </c>
      <c r="B13998" s="10" t="s">
        <v>13563</v>
      </c>
    </row>
    <row r="13999" spans="1:2" x14ac:dyDescent="0.3">
      <c r="A13999" s="7" t="str">
        <f>HYPERLINK("http://www.eatonpowersource.com/products/configure/motors/details/109-1262-006","109-1262-006")</f>
        <v>109-1262-006</v>
      </c>
      <c r="B13999" s="8" t="s">
        <v>13564</v>
      </c>
    </row>
    <row r="14000" spans="1:2" x14ac:dyDescent="0.3">
      <c r="A14000" s="9" t="str">
        <f>HYPERLINK("http://www.eatonpowersource.com/products/configure/motors/details/109-1263-006","109-1263-006")</f>
        <v>109-1263-006</v>
      </c>
      <c r="B14000" s="10" t="s">
        <v>13565</v>
      </c>
    </row>
    <row r="14001" spans="1:2" x14ac:dyDescent="0.3">
      <c r="A14001" s="7" t="str">
        <f>HYPERLINK("http://www.eatonpowersource.com/products/configure/motors/details/109-1264-006","109-1264-006")</f>
        <v>109-1264-006</v>
      </c>
      <c r="B14001" s="8" t="s">
        <v>13566</v>
      </c>
    </row>
    <row r="14002" spans="1:2" x14ac:dyDescent="0.3">
      <c r="A14002" s="9" t="str">
        <f>HYPERLINK("http://www.eatonpowersource.com/products/configure/motors/details/109-1265-006","109-1265-006")</f>
        <v>109-1265-006</v>
      </c>
      <c r="B14002" s="10" t="s">
        <v>13567</v>
      </c>
    </row>
    <row r="14003" spans="1:2" x14ac:dyDescent="0.3">
      <c r="A14003" s="7" t="str">
        <f>HYPERLINK("http://www.eatonpowersource.com/products/configure/motors/details/109-1267-006","109-1267-006")</f>
        <v>109-1267-006</v>
      </c>
      <c r="B14003" s="8" t="s">
        <v>13568</v>
      </c>
    </row>
    <row r="14004" spans="1:2" x14ac:dyDescent="0.3">
      <c r="A14004" s="9" t="str">
        <f>HYPERLINK("http://www.eatonpowersource.com/products/configure/motors/details/109-1269-006","109-1269-006")</f>
        <v>109-1269-006</v>
      </c>
      <c r="B14004" s="10" t="s">
        <v>13569</v>
      </c>
    </row>
    <row r="14005" spans="1:2" x14ac:dyDescent="0.3">
      <c r="A14005" s="7" t="str">
        <f>HYPERLINK("http://www.eatonpowersource.com/products/configure/motors/details/109-1277-006","109-1277-006")</f>
        <v>109-1277-006</v>
      </c>
      <c r="B14005" s="8" t="s">
        <v>13570</v>
      </c>
    </row>
    <row r="14006" spans="1:2" x14ac:dyDescent="0.3">
      <c r="A14006" s="9" t="str">
        <f>HYPERLINK("http://www.eatonpowersource.com/products/configure/motors/details/109-1278-006","109-1278-006")</f>
        <v>109-1278-006</v>
      </c>
      <c r="B14006" s="10" t="s">
        <v>13571</v>
      </c>
    </row>
    <row r="14007" spans="1:2" x14ac:dyDescent="0.3">
      <c r="A14007" s="7" t="str">
        <f>HYPERLINK("http://www.eatonpowersource.com/products/configure/motors/details/109-1280-006","109-1280-006")</f>
        <v>109-1280-006</v>
      </c>
      <c r="B14007" s="8" t="s">
        <v>13572</v>
      </c>
    </row>
    <row r="14008" spans="1:2" x14ac:dyDescent="0.3">
      <c r="A14008" s="9" t="str">
        <f>HYPERLINK("http://www.eatonpowersource.com/products/configure/motors/details/109-1287-006","109-1287-006")</f>
        <v>109-1287-006</v>
      </c>
      <c r="B14008" s="10" t="s">
        <v>13573</v>
      </c>
    </row>
    <row r="14009" spans="1:2" x14ac:dyDescent="0.3">
      <c r="A14009" s="7" t="str">
        <f>HYPERLINK("http://www.eatonpowersource.com/products/configure/motors/details/109-1289-006","109-1289-006")</f>
        <v>109-1289-006</v>
      </c>
      <c r="B14009" s="8" t="s">
        <v>13574</v>
      </c>
    </row>
    <row r="14010" spans="1:2" x14ac:dyDescent="0.3">
      <c r="A14010" s="9" t="str">
        <f>HYPERLINK("http://www.eatonpowersource.com/products/configure/motors/details/109-1291-006","109-1291-006")</f>
        <v>109-1291-006</v>
      </c>
      <c r="B14010" s="10" t="s">
        <v>13575</v>
      </c>
    </row>
    <row r="14011" spans="1:2" x14ac:dyDescent="0.3">
      <c r="A14011" s="7" t="str">
        <f>HYPERLINK("http://www.eatonpowersource.com/products/configure/motors/details/109-1293-006","109-1293-006")</f>
        <v>109-1293-006</v>
      </c>
      <c r="B14011" s="8" t="s">
        <v>13576</v>
      </c>
    </row>
    <row r="14012" spans="1:2" x14ac:dyDescent="0.3">
      <c r="A14012" s="9" t="str">
        <f>HYPERLINK("http://www.eatonpowersource.com/products/configure/motors/details/109-1294-006","109-1294-006")</f>
        <v>109-1294-006</v>
      </c>
      <c r="B14012" s="10" t="s">
        <v>13577</v>
      </c>
    </row>
    <row r="14013" spans="1:2" x14ac:dyDescent="0.3">
      <c r="A14013" s="7" t="str">
        <f>HYPERLINK("http://www.eatonpowersource.com/products/configure/motors/details/109-1305-006","109-1305-006")</f>
        <v>109-1305-006</v>
      </c>
      <c r="B14013" s="8" t="s">
        <v>13578</v>
      </c>
    </row>
    <row r="14014" spans="1:2" x14ac:dyDescent="0.3">
      <c r="A14014" s="9" t="str">
        <f>HYPERLINK("http://www.eatonpowersource.com/products/configure/motors/details/109-1309-006","109-1309-006")</f>
        <v>109-1309-006</v>
      </c>
      <c r="B14014" s="10" t="s">
        <v>13579</v>
      </c>
    </row>
    <row r="14015" spans="1:2" x14ac:dyDescent="0.3">
      <c r="A14015" s="7" t="str">
        <f>HYPERLINK("http://www.eatonpowersource.com/products/configure/motors/details/109-1314-006","109-1314-006")</f>
        <v>109-1314-006</v>
      </c>
      <c r="B14015" s="8" t="s">
        <v>13580</v>
      </c>
    </row>
    <row r="14016" spans="1:2" x14ac:dyDescent="0.3">
      <c r="A14016" s="9" t="str">
        <f>HYPERLINK("http://www.eatonpowersource.com/products/configure/motors/details/109-1316-006","109-1316-006")</f>
        <v>109-1316-006</v>
      </c>
      <c r="B14016" s="10" t="s">
        <v>13581</v>
      </c>
    </row>
    <row r="14017" spans="1:2" x14ac:dyDescent="0.3">
      <c r="A14017" s="7" t="str">
        <f>HYPERLINK("http://www.eatonpowersource.com/products/configure/motors/details/109-1319-006","109-1319-006")</f>
        <v>109-1319-006</v>
      </c>
      <c r="B14017" s="8" t="s">
        <v>13582</v>
      </c>
    </row>
    <row r="14018" spans="1:2" x14ac:dyDescent="0.3">
      <c r="A14018" s="9" t="str">
        <f>HYPERLINK("http://www.eatonpowersource.com/products/configure/motors/details/109-1321-006","109-1321-006")</f>
        <v>109-1321-006</v>
      </c>
      <c r="B14018" s="10" t="s">
        <v>13583</v>
      </c>
    </row>
    <row r="14019" spans="1:2" x14ac:dyDescent="0.3">
      <c r="A14019" s="7" t="str">
        <f>HYPERLINK("http://www.eatonpowersource.com/products/configure/motors/details/109-1324-006","109-1324-006")</f>
        <v>109-1324-006</v>
      </c>
      <c r="B14019" s="8" t="s">
        <v>13584</v>
      </c>
    </row>
    <row r="14020" spans="1:2" x14ac:dyDescent="0.3">
      <c r="A14020" s="9" t="str">
        <f>HYPERLINK("http://www.eatonpowersource.com/products/configure/motors/details/109-1330-006","109-1330-006")</f>
        <v>109-1330-006</v>
      </c>
      <c r="B14020" s="10" t="s">
        <v>13585</v>
      </c>
    </row>
    <row r="14021" spans="1:2" x14ac:dyDescent="0.3">
      <c r="A14021" s="7" t="str">
        <f>HYPERLINK("http://www.eatonpowersource.com/products/configure/motors/details/109-1333-006","109-1333-006")</f>
        <v>109-1333-006</v>
      </c>
      <c r="B14021" s="8" t="s">
        <v>13586</v>
      </c>
    </row>
    <row r="14022" spans="1:2" x14ac:dyDescent="0.3">
      <c r="A14022" s="9" t="str">
        <f>HYPERLINK("http://www.eatonpowersource.com/products/configure/motors/details/109-1334-006","109-1334-006")</f>
        <v>109-1334-006</v>
      </c>
      <c r="B14022" s="10" t="s">
        <v>13587</v>
      </c>
    </row>
    <row r="14023" spans="1:2" x14ac:dyDescent="0.3">
      <c r="A14023" s="7" t="str">
        <f>HYPERLINK("http://www.eatonpowersource.com/products/configure/motors/details/109-1336-006","109-1336-006")</f>
        <v>109-1336-006</v>
      </c>
      <c r="B14023" s="8" t="s">
        <v>13588</v>
      </c>
    </row>
    <row r="14024" spans="1:2" x14ac:dyDescent="0.3">
      <c r="A14024" s="9" t="str">
        <f>HYPERLINK("http://www.eatonpowersource.com/products/configure/motors/details/109-1339-006","109-1339-006")</f>
        <v>109-1339-006</v>
      </c>
      <c r="B14024" s="10" t="s">
        <v>13589</v>
      </c>
    </row>
    <row r="14025" spans="1:2" x14ac:dyDescent="0.3">
      <c r="A14025" s="7" t="str">
        <f>HYPERLINK("http://www.eatonpowersource.com/products/configure/motors/details/109-1340-006","109-1340-006")</f>
        <v>109-1340-006</v>
      </c>
      <c r="B14025" s="8" t="s">
        <v>13590</v>
      </c>
    </row>
    <row r="14026" spans="1:2" x14ac:dyDescent="0.3">
      <c r="A14026" s="9" t="str">
        <f>HYPERLINK("http://www.eatonpowersource.com/products/configure/motors/details/109-1346-006","109-1346-006")</f>
        <v>109-1346-006</v>
      </c>
      <c r="B14026" s="10" t="s">
        <v>13591</v>
      </c>
    </row>
    <row r="14027" spans="1:2" x14ac:dyDescent="0.3">
      <c r="A14027" s="7" t="str">
        <f>HYPERLINK("http://www.eatonpowersource.com/products/configure/motors/details/109-1355-006","109-1355-006")</f>
        <v>109-1355-006</v>
      </c>
      <c r="B14027" s="8" t="s">
        <v>13592</v>
      </c>
    </row>
    <row r="14028" spans="1:2" x14ac:dyDescent="0.3">
      <c r="A14028" s="9" t="str">
        <f>HYPERLINK("http://www.eatonpowersource.com/products/configure/motors/details/109-1359-006","109-1359-006")</f>
        <v>109-1359-006</v>
      </c>
      <c r="B14028" s="10" t="s">
        <v>13593</v>
      </c>
    </row>
    <row r="14029" spans="1:2" x14ac:dyDescent="0.3">
      <c r="A14029" s="7" t="str">
        <f>HYPERLINK("http://www.eatonpowersource.com/products/configure/motors/details/109-1370-006","109-1370-006")</f>
        <v>109-1370-006</v>
      </c>
      <c r="B14029" s="8" t="s">
        <v>13594</v>
      </c>
    </row>
    <row r="14030" spans="1:2" x14ac:dyDescent="0.3">
      <c r="A14030" s="9" t="str">
        <f>HYPERLINK("http://www.eatonpowersource.com/products/configure/motors/details/109-1375-006","109-1375-006")</f>
        <v>109-1375-006</v>
      </c>
      <c r="B14030" s="10" t="s">
        <v>13595</v>
      </c>
    </row>
    <row r="14031" spans="1:2" x14ac:dyDescent="0.3">
      <c r="A14031" s="7" t="str">
        <f>HYPERLINK("http://www.eatonpowersource.com/products/configure/motors/details/109-1377-006","109-1377-006")</f>
        <v>109-1377-006</v>
      </c>
      <c r="B14031" s="8" t="s">
        <v>13596</v>
      </c>
    </row>
    <row r="14032" spans="1:2" x14ac:dyDescent="0.3">
      <c r="A14032" s="9" t="str">
        <f>HYPERLINK("http://www.eatonpowersource.com/products/configure/motors/details/109-1383-006","109-1383-006")</f>
        <v>109-1383-006</v>
      </c>
      <c r="B14032" s="10" t="s">
        <v>13597</v>
      </c>
    </row>
    <row r="14033" spans="1:2" x14ac:dyDescent="0.3">
      <c r="A14033" s="7" t="str">
        <f>HYPERLINK("http://www.eatonpowersource.com/products/configure/motors/details/109-1392-006","109-1392-006")</f>
        <v>109-1392-006</v>
      </c>
      <c r="B14033" s="8" t="s">
        <v>13598</v>
      </c>
    </row>
    <row r="14034" spans="1:2" x14ac:dyDescent="0.3">
      <c r="A14034" s="9" t="str">
        <f>HYPERLINK("http://www.eatonpowersource.com/products/configure/motors/details/109-1393-006","109-1393-006")</f>
        <v>109-1393-006</v>
      </c>
      <c r="B14034" s="10" t="s">
        <v>13599</v>
      </c>
    </row>
    <row r="14035" spans="1:2" x14ac:dyDescent="0.3">
      <c r="A14035" s="7" t="str">
        <f>HYPERLINK("http://www.eatonpowersource.com/products/configure/motors/details/109-1400-006","109-1400-006")</f>
        <v>109-1400-006</v>
      </c>
      <c r="B14035" s="8" t="s">
        <v>13600</v>
      </c>
    </row>
    <row r="14036" spans="1:2" x14ac:dyDescent="0.3">
      <c r="A14036" s="9" t="str">
        <f>HYPERLINK("http://www.eatonpowersource.com/products/configure/motors/details/109-1412-006","109-1412-006")</f>
        <v>109-1412-006</v>
      </c>
      <c r="B14036" s="10" t="s">
        <v>13601</v>
      </c>
    </row>
    <row r="14037" spans="1:2" x14ac:dyDescent="0.3">
      <c r="A14037" s="7" t="str">
        <f>HYPERLINK("http://www.eatonpowersource.com/products/configure/motors/details/109-1432-006","109-1432-006")</f>
        <v>109-1432-006</v>
      </c>
      <c r="B14037" s="8" t="s">
        <v>13602</v>
      </c>
    </row>
    <row r="14038" spans="1:2" x14ac:dyDescent="0.3">
      <c r="A14038" s="9" t="str">
        <f>HYPERLINK("http://www.eatonpowersource.com/products/configure/motors/details/109-1440-006","109-1440-006")</f>
        <v>109-1440-006</v>
      </c>
      <c r="B14038" s="10" t="s">
        <v>13603</v>
      </c>
    </row>
    <row r="14039" spans="1:2" x14ac:dyDescent="0.3">
      <c r="A14039" s="7" t="str">
        <f>HYPERLINK("http://www.eatonpowersource.com/products/configure/motors/details/109-1447-006","109-1447-006")</f>
        <v>109-1447-006</v>
      </c>
      <c r="B14039" s="8" t="s">
        <v>13604</v>
      </c>
    </row>
    <row r="14040" spans="1:2" x14ac:dyDescent="0.3">
      <c r="A14040" s="9" t="str">
        <f>HYPERLINK("http://www.eatonpowersource.com/products/configure/motors/details/109-1450-006","109-1450-006")</f>
        <v>109-1450-006</v>
      </c>
      <c r="B14040" s="10" t="s">
        <v>13605</v>
      </c>
    </row>
    <row r="14041" spans="1:2" x14ac:dyDescent="0.3">
      <c r="A14041" s="7" t="str">
        <f>HYPERLINK("http://www.eatonpowersource.com/products/configure/motors/details/109-1460-006","109-1460-006")</f>
        <v>109-1460-006</v>
      </c>
      <c r="B14041" s="8" t="s">
        <v>13606</v>
      </c>
    </row>
    <row r="14042" spans="1:2" x14ac:dyDescent="0.3">
      <c r="A14042" s="9" t="str">
        <f>HYPERLINK("http://www.eatonpowersource.com/products/configure/motors/details/109-1463-006","109-1463-006")</f>
        <v>109-1463-006</v>
      </c>
      <c r="B14042" s="10" t="s">
        <v>13607</v>
      </c>
    </row>
    <row r="14043" spans="1:2" x14ac:dyDescent="0.3">
      <c r="A14043" s="7" t="str">
        <f>HYPERLINK("http://www.eatonpowersource.com/products/configure/motors/details/109-1468-006","109-1468-006")</f>
        <v>109-1468-006</v>
      </c>
      <c r="B14043" s="8" t="s">
        <v>13608</v>
      </c>
    </row>
    <row r="14044" spans="1:2" x14ac:dyDescent="0.3">
      <c r="A14044" s="9" t="str">
        <f>HYPERLINK("http://www.eatonpowersource.com/products/configure/motors/details/109-1470-006","109-1470-006")</f>
        <v>109-1470-006</v>
      </c>
      <c r="B14044" s="10" t="s">
        <v>13609</v>
      </c>
    </row>
    <row r="14045" spans="1:2" x14ac:dyDescent="0.3">
      <c r="A14045" s="7" t="str">
        <f>HYPERLINK("http://www.eatonpowersource.com/products/configure/motors/details/109-1473-006","109-1473-006")</f>
        <v>109-1473-006</v>
      </c>
      <c r="B14045" s="8" t="s">
        <v>13610</v>
      </c>
    </row>
    <row r="14046" spans="1:2" x14ac:dyDescent="0.3">
      <c r="A14046" s="9" t="str">
        <f>HYPERLINK("http://www.eatonpowersource.com/products/configure/motors/details/109-1478-006","109-1478-006")</f>
        <v>109-1478-006</v>
      </c>
      <c r="B14046" s="10" t="s">
        <v>13611</v>
      </c>
    </row>
    <row r="14047" spans="1:2" x14ac:dyDescent="0.3">
      <c r="A14047" s="7" t="str">
        <f>HYPERLINK("http://www.eatonpowersource.com/products/configure/motors/details/109-1481-006","109-1481-006")</f>
        <v>109-1481-006</v>
      </c>
      <c r="B14047" s="8" t="s">
        <v>13612</v>
      </c>
    </row>
    <row r="14048" spans="1:2" x14ac:dyDescent="0.3">
      <c r="A14048" s="9" t="str">
        <f>HYPERLINK("http://www.eatonpowersource.com/products/configure/motors/details/109-1492-006","109-1492-006")</f>
        <v>109-1492-006</v>
      </c>
      <c r="B14048" s="10" t="s">
        <v>13613</v>
      </c>
    </row>
    <row r="14049" spans="1:2" x14ac:dyDescent="0.3">
      <c r="A14049" s="7" t="str">
        <f>HYPERLINK("http://www.eatonpowersource.com/products/configure/motors/details/109-1497-006","109-1497-006")</f>
        <v>109-1497-006</v>
      </c>
      <c r="B14049" s="8" t="s">
        <v>13614</v>
      </c>
    </row>
    <row r="14050" spans="1:2" x14ac:dyDescent="0.3">
      <c r="A14050" s="9" t="str">
        <f>HYPERLINK("http://www.eatonpowersource.com/products/configure/motors/details/109-1547-006","109-1547-006")</f>
        <v>109-1547-006</v>
      </c>
      <c r="B14050" s="10" t="s">
        <v>13615</v>
      </c>
    </row>
    <row r="14051" spans="1:2" x14ac:dyDescent="0.3">
      <c r="A14051" s="7" t="str">
        <f>HYPERLINK("http://www.eatonpowersource.com/products/configure/motors/details/109-1548-006","109-1548-006")</f>
        <v>109-1548-006</v>
      </c>
      <c r="B14051" s="8" t="s">
        <v>13616</v>
      </c>
    </row>
    <row r="14052" spans="1:2" x14ac:dyDescent="0.3">
      <c r="A14052" s="9" t="str">
        <f>HYPERLINK("http://www.eatonpowersource.com/products/configure/motors/details/109-1549-006","109-1549-006")</f>
        <v>109-1549-006</v>
      </c>
      <c r="B14052" s="10" t="s">
        <v>13617</v>
      </c>
    </row>
    <row r="14053" spans="1:2" x14ac:dyDescent="0.3">
      <c r="A14053" s="7" t="str">
        <f>HYPERLINK("http://www.eatonpowersource.com/products/configure/motors/details/109-1550-006","109-1550-006")</f>
        <v>109-1550-006</v>
      </c>
      <c r="B14053" s="8" t="s">
        <v>13618</v>
      </c>
    </row>
    <row r="14054" spans="1:2" x14ac:dyDescent="0.3">
      <c r="A14054" s="9" t="str">
        <f>HYPERLINK("http://www.eatonpowersource.com/products/configure/motors/details/109-1553-006","109-1553-006")</f>
        <v>109-1553-006</v>
      </c>
      <c r="B14054" s="10" t="s">
        <v>13619</v>
      </c>
    </row>
    <row r="14055" spans="1:2" x14ac:dyDescent="0.3">
      <c r="A14055" s="7" t="str">
        <f>HYPERLINK("http://www.eatonpowersource.com/products/configure/motors/details/109-1555-006","109-1555-006")</f>
        <v>109-1555-006</v>
      </c>
      <c r="B14055" s="8" t="s">
        <v>13620</v>
      </c>
    </row>
    <row r="14056" spans="1:2" x14ac:dyDescent="0.3">
      <c r="A14056" s="9" t="str">
        <f>HYPERLINK("http://www.eatonpowersource.com/products/configure/motors/details/109-1569-006","109-1569-006")</f>
        <v>109-1569-006</v>
      </c>
      <c r="B14056" s="10" t="s">
        <v>13621</v>
      </c>
    </row>
    <row r="14057" spans="1:2" x14ac:dyDescent="0.3">
      <c r="A14057" s="7" t="str">
        <f>HYPERLINK("http://www.eatonpowersource.com/products/configure/motors/details/109-1575-006","109-1575-006")</f>
        <v>109-1575-006</v>
      </c>
      <c r="B14057" s="8" t="s">
        <v>13622</v>
      </c>
    </row>
    <row r="14058" spans="1:2" x14ac:dyDescent="0.3">
      <c r="A14058" s="9" t="str">
        <f>HYPERLINK("http://www.eatonpowersource.com/products/configure/motors/details/109-1582-006","109-1582-006")</f>
        <v>109-1582-006</v>
      </c>
      <c r="B14058" s="10" t="s">
        <v>13623</v>
      </c>
    </row>
    <row r="14059" spans="1:2" x14ac:dyDescent="0.3">
      <c r="A14059" s="7" t="str">
        <f>HYPERLINK("http://www.eatonpowersource.com/products/configure/motors/details/109-1584-006","109-1584-006")</f>
        <v>109-1584-006</v>
      </c>
      <c r="B14059" s="8" t="s">
        <v>13624</v>
      </c>
    </row>
    <row r="14060" spans="1:2" x14ac:dyDescent="0.3">
      <c r="A14060" s="9" t="str">
        <f>HYPERLINK("http://www.eatonpowersource.com/products/configure/motors/details/109-1616-006","109-1616-006")</f>
        <v>109-1616-006</v>
      </c>
      <c r="B14060" s="10" t="s">
        <v>13625</v>
      </c>
    </row>
    <row r="14061" spans="1:2" x14ac:dyDescent="0.3">
      <c r="A14061" s="7" t="str">
        <f>HYPERLINK("http://www.eatonpowersource.com/products/configure/motors/details/109-1619-006","109-1619-006")</f>
        <v>109-1619-006</v>
      </c>
      <c r="B14061" s="8" t="s">
        <v>13626</v>
      </c>
    </row>
    <row r="14062" spans="1:2" x14ac:dyDescent="0.3">
      <c r="A14062" s="9" t="str">
        <f>HYPERLINK("http://www.eatonpowersource.com/products/configure/motors/details/109-1649-006","109-1649-006")</f>
        <v>109-1649-006</v>
      </c>
      <c r="B14062" s="10" t="s">
        <v>13627</v>
      </c>
    </row>
    <row r="14063" spans="1:2" x14ac:dyDescent="0.3">
      <c r="A14063" s="7" t="str">
        <f>HYPERLINK("http://www.eatonpowersource.com/products/configure/motors/details/109-1685-006","109-1685-006")</f>
        <v>109-1685-006</v>
      </c>
      <c r="B14063" s="8" t="s">
        <v>13628</v>
      </c>
    </row>
    <row r="14064" spans="1:2" x14ac:dyDescent="0.3">
      <c r="A14064" s="9" t="str">
        <f>HYPERLINK("http://www.eatonpowersource.com/products/configure/motors/details/109-1688-006","109-1688-006")</f>
        <v>109-1688-006</v>
      </c>
      <c r="B14064" s="10" t="s">
        <v>13629</v>
      </c>
    </row>
    <row r="14065" spans="1:2" x14ac:dyDescent="0.3">
      <c r="A14065" s="7" t="str">
        <f>HYPERLINK("http://www.eatonpowersource.com/products/configure/motors/details/109-1689-006","109-1689-006")</f>
        <v>109-1689-006</v>
      </c>
      <c r="B14065" s="8" t="s">
        <v>13630</v>
      </c>
    </row>
    <row r="14066" spans="1:2" x14ac:dyDescent="0.3">
      <c r="A14066" s="9" t="str">
        <f>HYPERLINK("http://www.eatonpowersource.com/products/configure/motors/details/109-1717-006","109-1717-006")</f>
        <v>109-1717-006</v>
      </c>
      <c r="B14066" s="10" t="s">
        <v>13631</v>
      </c>
    </row>
    <row r="14067" spans="1:2" x14ac:dyDescent="0.3">
      <c r="A14067" s="7" t="str">
        <f>HYPERLINK("http://www.eatonpowersource.com/products/configure/motors/details/110-1006-006","110-1006-006")</f>
        <v>110-1006-006</v>
      </c>
      <c r="B14067" s="8" t="s">
        <v>13632</v>
      </c>
    </row>
    <row r="14068" spans="1:2" x14ac:dyDescent="0.3">
      <c r="A14068" s="9" t="str">
        <f>HYPERLINK("http://www.eatonpowersource.com/products/configure/motors/details/110-1044-006","110-1044-006")</f>
        <v>110-1044-006</v>
      </c>
      <c r="B14068" s="10" t="s">
        <v>13633</v>
      </c>
    </row>
    <row r="14069" spans="1:2" x14ac:dyDescent="0.3">
      <c r="A14069" s="7" t="str">
        <f>HYPERLINK("http://www.eatonpowersource.com/products/configure/motors/details/110-1078-006","110-1078-006")</f>
        <v>110-1078-006</v>
      </c>
      <c r="B14069" s="8" t="s">
        <v>13634</v>
      </c>
    </row>
    <row r="14070" spans="1:2" x14ac:dyDescent="0.3">
      <c r="A14070" s="9" t="str">
        <f>HYPERLINK("http://www.eatonpowersource.com/products/configure/motors/details/110-1081-006","110-1081-006")</f>
        <v>110-1081-006</v>
      </c>
      <c r="B14070" s="10" t="s">
        <v>13635</v>
      </c>
    </row>
    <row r="14071" spans="1:2" x14ac:dyDescent="0.3">
      <c r="A14071" s="7" t="str">
        <f>HYPERLINK("http://www.eatonpowersource.com/products/configure/motors/details/110-1082-006","110-1082-006")</f>
        <v>110-1082-006</v>
      </c>
      <c r="B14071" s="8" t="s">
        <v>13636</v>
      </c>
    </row>
    <row r="14072" spans="1:2" x14ac:dyDescent="0.3">
      <c r="A14072" s="9" t="str">
        <f>HYPERLINK("http://www.eatonpowersource.com/products/configure/motors/details/110-1083-006","110-1083-006")</f>
        <v>110-1083-006</v>
      </c>
      <c r="B14072" s="10" t="s">
        <v>13637</v>
      </c>
    </row>
    <row r="14073" spans="1:2" x14ac:dyDescent="0.3">
      <c r="A14073" s="7" t="str">
        <f>HYPERLINK("http://www.eatonpowersource.com/products/configure/motors/details/110-1084-006","110-1084-006")</f>
        <v>110-1084-006</v>
      </c>
      <c r="B14073" s="8" t="s">
        <v>13638</v>
      </c>
    </row>
    <row r="14074" spans="1:2" x14ac:dyDescent="0.3">
      <c r="A14074" s="9" t="str">
        <f>HYPERLINK("http://www.eatonpowersource.com/products/configure/motors/details/110-1085-006","110-1085-006")</f>
        <v>110-1085-006</v>
      </c>
      <c r="B14074" s="10" t="s">
        <v>13639</v>
      </c>
    </row>
    <row r="14075" spans="1:2" x14ac:dyDescent="0.3">
      <c r="A14075" s="7" t="str">
        <f>HYPERLINK("http://www.eatonpowersource.com/products/configure/motors/details/110-1086-006","110-1086-006")</f>
        <v>110-1086-006</v>
      </c>
      <c r="B14075" s="8" t="s">
        <v>13640</v>
      </c>
    </row>
    <row r="14076" spans="1:2" x14ac:dyDescent="0.3">
      <c r="A14076" s="9" t="str">
        <f>HYPERLINK("http://www.eatonpowersource.com/products/configure/motors/details/110-1087-006","110-1087-006")</f>
        <v>110-1087-006</v>
      </c>
      <c r="B14076" s="10" t="s">
        <v>13641</v>
      </c>
    </row>
    <row r="14077" spans="1:2" x14ac:dyDescent="0.3">
      <c r="A14077" s="7" t="str">
        <f>HYPERLINK("http://www.eatonpowersource.com/products/configure/motors/details/110-1090-006","110-1090-006")</f>
        <v>110-1090-006</v>
      </c>
      <c r="B14077" s="8" t="s">
        <v>13642</v>
      </c>
    </row>
    <row r="14078" spans="1:2" x14ac:dyDescent="0.3">
      <c r="A14078" s="9" t="str">
        <f>HYPERLINK("http://www.eatonpowersource.com/products/configure/motors/details/110-1093-006","110-1093-006")</f>
        <v>110-1093-006</v>
      </c>
      <c r="B14078" s="10" t="s">
        <v>13643</v>
      </c>
    </row>
    <row r="14079" spans="1:2" x14ac:dyDescent="0.3">
      <c r="A14079" s="7" t="str">
        <f>HYPERLINK("http://www.eatonpowersource.com/products/configure/motors/details/110-1109-006","110-1109-006")</f>
        <v>110-1109-006</v>
      </c>
      <c r="B14079" s="8" t="s">
        <v>13644</v>
      </c>
    </row>
    <row r="14080" spans="1:2" x14ac:dyDescent="0.3">
      <c r="A14080" s="9" t="str">
        <f>HYPERLINK("http://www.eatonpowersource.com/products/configure/motors/details/110-1110-006","110-1110-006")</f>
        <v>110-1110-006</v>
      </c>
      <c r="B14080" s="10" t="s">
        <v>13645</v>
      </c>
    </row>
    <row r="14081" spans="1:2" x14ac:dyDescent="0.3">
      <c r="A14081" s="7" t="str">
        <f>HYPERLINK("http://www.eatonpowersource.com/products/configure/motors/details/110-1111-006","110-1111-006")</f>
        <v>110-1111-006</v>
      </c>
      <c r="B14081" s="8" t="s">
        <v>13646</v>
      </c>
    </row>
    <row r="14082" spans="1:2" x14ac:dyDescent="0.3">
      <c r="A14082" s="9" t="str">
        <f>HYPERLINK("http://www.eatonpowersource.com/products/configure/motors/details/110-1112-006","110-1112-006")</f>
        <v>110-1112-006</v>
      </c>
      <c r="B14082" s="10" t="s">
        <v>13647</v>
      </c>
    </row>
    <row r="14083" spans="1:2" x14ac:dyDescent="0.3">
      <c r="A14083" s="7" t="str">
        <f>HYPERLINK("http://www.eatonpowersource.com/products/configure/motors/details/110-1113-006","110-1113-006")</f>
        <v>110-1113-006</v>
      </c>
      <c r="B14083" s="8" t="s">
        <v>13648</v>
      </c>
    </row>
    <row r="14084" spans="1:2" x14ac:dyDescent="0.3">
      <c r="A14084" s="9" t="str">
        <f>HYPERLINK("http://www.eatonpowersource.com/products/configure/motors/details/110-1116-006","110-1116-006")</f>
        <v>110-1116-006</v>
      </c>
      <c r="B14084" s="10" t="s">
        <v>13649</v>
      </c>
    </row>
    <row r="14085" spans="1:2" x14ac:dyDescent="0.3">
      <c r="A14085" s="7" t="str">
        <f>HYPERLINK("http://www.eatonpowersource.com/products/configure/motors/details/110-1117-006","110-1117-006")</f>
        <v>110-1117-006</v>
      </c>
      <c r="B14085" s="8" t="s">
        <v>13650</v>
      </c>
    </row>
    <row r="14086" spans="1:2" x14ac:dyDescent="0.3">
      <c r="A14086" s="9" t="str">
        <f>HYPERLINK("http://www.eatonpowersource.com/products/configure/motors/details/110-1125-006","110-1125-006")</f>
        <v>110-1125-006</v>
      </c>
      <c r="B14086" s="10" t="s">
        <v>13651</v>
      </c>
    </row>
    <row r="14087" spans="1:2" x14ac:dyDescent="0.3">
      <c r="A14087" s="7" t="str">
        <f>HYPERLINK("http://www.eatonpowersource.com/products/configure/motors/details/110-1128-006","110-1128-006")</f>
        <v>110-1128-006</v>
      </c>
      <c r="B14087" s="8" t="s">
        <v>13652</v>
      </c>
    </row>
    <row r="14088" spans="1:2" x14ac:dyDescent="0.3">
      <c r="A14088" s="9" t="str">
        <f>HYPERLINK("http://www.eatonpowersource.com/products/configure/motors/details/110-1129-006","110-1129-006")</f>
        <v>110-1129-006</v>
      </c>
      <c r="B14088" s="10" t="s">
        <v>13653</v>
      </c>
    </row>
    <row r="14089" spans="1:2" x14ac:dyDescent="0.3">
      <c r="A14089" s="7" t="str">
        <f>HYPERLINK("http://www.eatonpowersource.com/products/configure/motors/details/110-1130-006","110-1130-006")</f>
        <v>110-1130-006</v>
      </c>
      <c r="B14089" s="8" t="s">
        <v>13654</v>
      </c>
    </row>
    <row r="14090" spans="1:2" x14ac:dyDescent="0.3">
      <c r="A14090" s="9" t="str">
        <f>HYPERLINK("http://www.eatonpowersource.com/products/configure/motors/details/110-1134-006","110-1134-006")</f>
        <v>110-1134-006</v>
      </c>
      <c r="B14090" s="10" t="s">
        <v>13655</v>
      </c>
    </row>
    <row r="14091" spans="1:2" x14ac:dyDescent="0.3">
      <c r="A14091" s="7" t="str">
        <f>HYPERLINK("http://www.eatonpowersource.com/products/configure/motors/details/110-1135-006","110-1135-006")</f>
        <v>110-1135-006</v>
      </c>
      <c r="B14091" s="8" t="s">
        <v>13656</v>
      </c>
    </row>
    <row r="14092" spans="1:2" x14ac:dyDescent="0.3">
      <c r="A14092" s="9" t="str">
        <f>HYPERLINK("http://www.eatonpowersource.com/products/configure/motors/details/110-1136-006","110-1136-006")</f>
        <v>110-1136-006</v>
      </c>
      <c r="B14092" s="10" t="s">
        <v>13657</v>
      </c>
    </row>
    <row r="14093" spans="1:2" x14ac:dyDescent="0.3">
      <c r="A14093" s="7" t="str">
        <f>HYPERLINK("http://www.eatonpowersource.com/products/configure/motors/details/110-1144-006","110-1144-006")</f>
        <v>110-1144-006</v>
      </c>
      <c r="B14093" s="8" t="s">
        <v>13658</v>
      </c>
    </row>
    <row r="14094" spans="1:2" x14ac:dyDescent="0.3">
      <c r="A14094" s="9" t="str">
        <f>HYPERLINK("http://www.eatonpowersource.com/products/configure/motors/details/110-1145-006","110-1145-006")</f>
        <v>110-1145-006</v>
      </c>
      <c r="B14094" s="10" t="s">
        <v>13659</v>
      </c>
    </row>
    <row r="14095" spans="1:2" x14ac:dyDescent="0.3">
      <c r="A14095" s="7" t="str">
        <f>HYPERLINK("http://www.eatonpowersource.com/products/configure/motors/details/110-1149-006","110-1149-006")</f>
        <v>110-1149-006</v>
      </c>
      <c r="B14095" s="8" t="s">
        <v>13660</v>
      </c>
    </row>
    <row r="14096" spans="1:2" x14ac:dyDescent="0.3">
      <c r="A14096" s="9" t="str">
        <f>HYPERLINK("http://www.eatonpowersource.com/products/configure/motors/details/110-1156-006","110-1156-006")</f>
        <v>110-1156-006</v>
      </c>
      <c r="B14096" s="10" t="s">
        <v>13661</v>
      </c>
    </row>
    <row r="14097" spans="1:2" x14ac:dyDescent="0.3">
      <c r="A14097" s="7" t="str">
        <f>HYPERLINK("http://www.eatonpowersource.com/products/configure/motors/details/110-1158-006","110-1158-006")</f>
        <v>110-1158-006</v>
      </c>
      <c r="B14097" s="8" t="s">
        <v>13662</v>
      </c>
    </row>
    <row r="14098" spans="1:2" x14ac:dyDescent="0.3">
      <c r="A14098" s="9" t="str">
        <f>HYPERLINK("http://www.eatonpowersource.com/products/configure/motors/details/110-1168-006","110-1168-006")</f>
        <v>110-1168-006</v>
      </c>
      <c r="B14098" s="10" t="s">
        <v>13663</v>
      </c>
    </row>
    <row r="14099" spans="1:2" x14ac:dyDescent="0.3">
      <c r="A14099" s="7" t="str">
        <f>HYPERLINK("http://www.eatonpowersource.com/products/configure/motors/details/110-1190-006","110-1190-006")</f>
        <v>110-1190-006</v>
      </c>
      <c r="B14099" s="8" t="s">
        <v>13664</v>
      </c>
    </row>
    <row r="14100" spans="1:2" x14ac:dyDescent="0.3">
      <c r="A14100" s="9" t="str">
        <f>HYPERLINK("http://www.eatonpowersource.com/products/configure/motors/details/110-1192-006","110-1192-006")</f>
        <v>110-1192-006</v>
      </c>
      <c r="B14100" s="10" t="s">
        <v>13665</v>
      </c>
    </row>
    <row r="14101" spans="1:2" x14ac:dyDescent="0.3">
      <c r="A14101" s="7" t="str">
        <f>HYPERLINK("http://www.eatonpowersource.com/products/configure/motors/details/110-1193-006","110-1193-006")</f>
        <v>110-1193-006</v>
      </c>
      <c r="B14101" s="8" t="s">
        <v>13666</v>
      </c>
    </row>
    <row r="14102" spans="1:2" x14ac:dyDescent="0.3">
      <c r="A14102" s="9" t="str">
        <f>HYPERLINK("http://www.eatonpowersource.com/products/configure/motors/details/110-1195-006","110-1195-006")</f>
        <v>110-1195-006</v>
      </c>
      <c r="B14102" s="10" t="s">
        <v>13667</v>
      </c>
    </row>
    <row r="14103" spans="1:2" x14ac:dyDescent="0.3">
      <c r="A14103" s="7" t="str">
        <f>HYPERLINK("http://www.eatonpowersource.com/products/configure/motors/details/110-1210-006","110-1210-006")</f>
        <v>110-1210-006</v>
      </c>
      <c r="B14103" s="8" t="s">
        <v>13668</v>
      </c>
    </row>
    <row r="14104" spans="1:2" x14ac:dyDescent="0.3">
      <c r="A14104" s="9" t="str">
        <f>HYPERLINK("http://www.eatonpowersource.com/products/configure/motors/details/110-1215-006","110-1215-006")</f>
        <v>110-1215-006</v>
      </c>
      <c r="B14104" s="10" t="s">
        <v>13669</v>
      </c>
    </row>
    <row r="14105" spans="1:2" x14ac:dyDescent="0.3">
      <c r="A14105" s="7" t="str">
        <f>HYPERLINK("http://www.eatonpowersource.com/products/configure/motors/details/110-1227-006","110-1227-006")</f>
        <v>110-1227-006</v>
      </c>
      <c r="B14105" s="8" t="s">
        <v>13670</v>
      </c>
    </row>
    <row r="14106" spans="1:2" x14ac:dyDescent="0.3">
      <c r="A14106" s="9" t="str">
        <f>HYPERLINK("http://www.eatonpowersource.com/products/configure/motors/details/110-1243-006","110-1243-006")</f>
        <v>110-1243-006</v>
      </c>
      <c r="B14106" s="10" t="s">
        <v>13671</v>
      </c>
    </row>
    <row r="14107" spans="1:2" x14ac:dyDescent="0.3">
      <c r="A14107" s="7" t="str">
        <f>HYPERLINK("http://www.eatonpowersource.com/products/configure/motors/details/110-1247-006","110-1247-006")</f>
        <v>110-1247-006</v>
      </c>
      <c r="B14107" s="8" t="s">
        <v>13672</v>
      </c>
    </row>
    <row r="14108" spans="1:2" x14ac:dyDescent="0.3">
      <c r="A14108" s="9" t="str">
        <f>HYPERLINK("http://www.eatonpowersource.com/products/configure/motors/details/110-1252-006","110-1252-006")</f>
        <v>110-1252-006</v>
      </c>
      <c r="B14108" s="10" t="s">
        <v>13673</v>
      </c>
    </row>
    <row r="14109" spans="1:2" x14ac:dyDescent="0.3">
      <c r="A14109" s="7" t="str">
        <f>HYPERLINK("http://www.eatonpowersource.com/products/configure/motors/details/111-1021-004","111-1021-004")</f>
        <v>111-1021-004</v>
      </c>
      <c r="B14109" s="8" t="s">
        <v>13674</v>
      </c>
    </row>
    <row r="14110" spans="1:2" x14ac:dyDescent="0.3">
      <c r="A14110" s="9" t="str">
        <f>HYPERLINK("http://www.eatonpowersource.com/products/configure/motors/details/111-1033-004","111-1033-004")</f>
        <v>111-1033-004</v>
      </c>
      <c r="B14110" s="10" t="s">
        <v>13675</v>
      </c>
    </row>
    <row r="14111" spans="1:2" x14ac:dyDescent="0.3">
      <c r="A14111" s="7" t="str">
        <f>HYPERLINK("http://www.eatonpowersource.com/products/configure/motors/details/111-1035-004","111-1035-004")</f>
        <v>111-1035-004</v>
      </c>
      <c r="B14111" s="8" t="s">
        <v>13676</v>
      </c>
    </row>
    <row r="14112" spans="1:2" x14ac:dyDescent="0.3">
      <c r="A14112" s="9" t="str">
        <f>HYPERLINK("http://www.eatonpowersource.com/products/configure/motors/details/111-1036-004","111-1036-004")</f>
        <v>111-1036-004</v>
      </c>
      <c r="B14112" s="10" t="s">
        <v>13677</v>
      </c>
    </row>
    <row r="14113" spans="1:2" x14ac:dyDescent="0.3">
      <c r="A14113" s="7" t="str">
        <f>HYPERLINK("http://www.eatonpowersource.com/products/configure/motors/details/111-1037-004","111-1037-004")</f>
        <v>111-1037-004</v>
      </c>
      <c r="B14113" s="8" t="s">
        <v>13678</v>
      </c>
    </row>
    <row r="14114" spans="1:2" x14ac:dyDescent="0.3">
      <c r="A14114" s="9" t="str">
        <f>HYPERLINK("http://www.eatonpowersource.com/products/configure/motors/details/111-1039-004","111-1039-004")</f>
        <v>111-1039-004</v>
      </c>
      <c r="B14114" s="10" t="s">
        <v>13679</v>
      </c>
    </row>
    <row r="14115" spans="1:2" x14ac:dyDescent="0.3">
      <c r="A14115" s="7" t="str">
        <f>HYPERLINK("http://www.eatonpowersource.com/products/configure/motors/details/111-1046-004","111-1046-004")</f>
        <v>111-1046-004</v>
      </c>
      <c r="B14115" s="8" t="s">
        <v>13680</v>
      </c>
    </row>
    <row r="14116" spans="1:2" x14ac:dyDescent="0.3">
      <c r="A14116" s="9" t="str">
        <f>HYPERLINK("http://www.eatonpowersource.com/products/configure/motors/details/111-1053-004","111-1053-004")</f>
        <v>111-1053-004</v>
      </c>
      <c r="B14116" s="10" t="s">
        <v>13681</v>
      </c>
    </row>
    <row r="14117" spans="1:2" x14ac:dyDescent="0.3">
      <c r="A14117" s="7" t="str">
        <f>HYPERLINK("http://www.eatonpowersource.com/products/configure/motors/details/111-1054-004","111-1054-004")</f>
        <v>111-1054-004</v>
      </c>
      <c r="B14117" s="8" t="s">
        <v>13682</v>
      </c>
    </row>
    <row r="14118" spans="1:2" x14ac:dyDescent="0.3">
      <c r="A14118" s="9" t="str">
        <f>HYPERLINK("http://www.eatonpowersource.com/products/configure/motors/details/111-1055-004","111-1055-004")</f>
        <v>111-1055-004</v>
      </c>
      <c r="B14118" s="10" t="s">
        <v>13683</v>
      </c>
    </row>
    <row r="14119" spans="1:2" x14ac:dyDescent="0.3">
      <c r="A14119" s="7" t="str">
        <f>HYPERLINK("http://www.eatonpowersource.com/products/configure/motors/details/111-1056-004","111-1056-004")</f>
        <v>111-1056-004</v>
      </c>
      <c r="B14119" s="8" t="s">
        <v>13684</v>
      </c>
    </row>
    <row r="14120" spans="1:2" x14ac:dyDescent="0.3">
      <c r="A14120" s="9" t="str">
        <f>HYPERLINK("http://www.eatonpowersource.com/products/configure/motors/details/111-1061-004","111-1061-004")</f>
        <v>111-1061-004</v>
      </c>
      <c r="B14120" s="10" t="s">
        <v>13685</v>
      </c>
    </row>
    <row r="14121" spans="1:2" x14ac:dyDescent="0.3">
      <c r="A14121" s="7" t="str">
        <f>HYPERLINK("http://www.eatonpowersource.com/products/configure/motors/details/111-1062-004","111-1062-004")</f>
        <v>111-1062-004</v>
      </c>
      <c r="B14121" s="8" t="s">
        <v>13686</v>
      </c>
    </row>
    <row r="14122" spans="1:2" x14ac:dyDescent="0.3">
      <c r="A14122" s="9" t="str">
        <f>HYPERLINK("http://www.eatonpowersource.com/products/configure/motors/details/111-1070-004","111-1070-004")</f>
        <v>111-1070-004</v>
      </c>
      <c r="B14122" s="10" t="s">
        <v>13687</v>
      </c>
    </row>
    <row r="14123" spans="1:2" x14ac:dyDescent="0.3">
      <c r="A14123" s="7" t="str">
        <f>HYPERLINK("http://www.eatonpowersource.com/products/configure/motors/details/111-1074-004","111-1074-004")</f>
        <v>111-1074-004</v>
      </c>
      <c r="B14123" s="8" t="s">
        <v>13688</v>
      </c>
    </row>
    <row r="14124" spans="1:2" x14ac:dyDescent="0.3">
      <c r="A14124" s="9" t="str">
        <f>HYPERLINK("http://www.eatonpowersource.com/products/configure/motors/details/111-1076-004","111-1076-004")</f>
        <v>111-1076-004</v>
      </c>
      <c r="B14124" s="10" t="s">
        <v>13689</v>
      </c>
    </row>
    <row r="14125" spans="1:2" x14ac:dyDescent="0.3">
      <c r="A14125" s="7" t="str">
        <f>HYPERLINK("http://www.eatonpowersource.com/products/configure/motors/details/111-1079-004","111-1079-004")</f>
        <v>111-1079-004</v>
      </c>
      <c r="B14125" s="8" t="s">
        <v>13690</v>
      </c>
    </row>
    <row r="14126" spans="1:2" x14ac:dyDescent="0.3">
      <c r="A14126" s="9" t="str">
        <f>HYPERLINK("http://www.eatonpowersource.com/products/configure/motors/details/111-1086-004","111-1086-004")</f>
        <v>111-1086-004</v>
      </c>
      <c r="B14126" s="10" t="s">
        <v>13691</v>
      </c>
    </row>
    <row r="14127" spans="1:2" x14ac:dyDescent="0.3">
      <c r="A14127" s="7" t="str">
        <f>HYPERLINK("http://www.eatonpowersource.com/products/configure/motors/details/112-1005-006","112-1005-006")</f>
        <v>112-1005-006</v>
      </c>
      <c r="B14127" s="8" t="s">
        <v>13692</v>
      </c>
    </row>
    <row r="14128" spans="1:2" x14ac:dyDescent="0.3">
      <c r="A14128" s="9" t="str">
        <f>HYPERLINK("http://www.eatonpowersource.com/products/configure/motors/details/112-1007-006","112-1007-006")</f>
        <v>112-1007-006</v>
      </c>
      <c r="B14128" s="10" t="s">
        <v>13693</v>
      </c>
    </row>
    <row r="14129" spans="1:2" x14ac:dyDescent="0.3">
      <c r="A14129" s="7" t="str">
        <f>HYPERLINK("http://www.eatonpowersource.com/products/configure/motors/details/112-1011-006","112-1011-006")</f>
        <v>112-1011-006</v>
      </c>
      <c r="B14129" s="8" t="s">
        <v>13694</v>
      </c>
    </row>
    <row r="14130" spans="1:2" x14ac:dyDescent="0.3">
      <c r="A14130" s="9" t="str">
        <f>HYPERLINK("http://www.eatonpowersource.com/products/configure/motors/details/112-1012-006","112-1012-006")</f>
        <v>112-1012-006</v>
      </c>
      <c r="B14130" s="10" t="s">
        <v>13695</v>
      </c>
    </row>
    <row r="14131" spans="1:2" x14ac:dyDescent="0.3">
      <c r="A14131" s="7" t="str">
        <f>HYPERLINK("http://www.eatonpowersource.com/products/configure/motors/details/112-1018-006","112-1018-006")</f>
        <v>112-1018-006</v>
      </c>
      <c r="B14131" s="8" t="s">
        <v>13696</v>
      </c>
    </row>
    <row r="14132" spans="1:2" x14ac:dyDescent="0.3">
      <c r="A14132" s="9" t="str">
        <f>HYPERLINK("http://www.eatonpowersource.com/products/configure/motors/details/112-1019-006","112-1019-006")</f>
        <v>112-1019-006</v>
      </c>
      <c r="B14132" s="10" t="s">
        <v>13697</v>
      </c>
    </row>
    <row r="14133" spans="1:2" x14ac:dyDescent="0.3">
      <c r="A14133" s="7" t="str">
        <f>HYPERLINK("http://www.eatonpowersource.com/products/configure/motors/details/112-1020-006","112-1020-006")</f>
        <v>112-1020-006</v>
      </c>
      <c r="B14133" s="8" t="s">
        <v>13698</v>
      </c>
    </row>
    <row r="14134" spans="1:2" x14ac:dyDescent="0.3">
      <c r="A14134" s="9" t="str">
        <f>HYPERLINK("http://www.eatonpowersource.com/products/configure/motors/details/112-1024-006","112-1024-006")</f>
        <v>112-1024-006</v>
      </c>
      <c r="B14134" s="10" t="s">
        <v>13699</v>
      </c>
    </row>
    <row r="14135" spans="1:2" x14ac:dyDescent="0.3">
      <c r="A14135" s="7" t="str">
        <f>HYPERLINK("http://www.eatonpowersource.com/products/configure/motors/details/112-1025-006","112-1025-006")</f>
        <v>112-1025-006</v>
      </c>
      <c r="B14135" s="8" t="s">
        <v>13700</v>
      </c>
    </row>
    <row r="14136" spans="1:2" x14ac:dyDescent="0.3">
      <c r="A14136" s="9" t="str">
        <f>HYPERLINK("http://www.eatonpowersource.com/products/configure/motors/details/112-1026-006","112-1026-006")</f>
        <v>112-1026-006</v>
      </c>
      <c r="B14136" s="10" t="s">
        <v>13701</v>
      </c>
    </row>
    <row r="14137" spans="1:2" x14ac:dyDescent="0.3">
      <c r="A14137" s="7" t="str">
        <f>HYPERLINK("http://www.eatonpowersource.com/products/configure/motors/details/112-1054-006","112-1054-006")</f>
        <v>112-1054-006</v>
      </c>
      <c r="B14137" s="8" t="s">
        <v>13702</v>
      </c>
    </row>
    <row r="14138" spans="1:2" x14ac:dyDescent="0.3">
      <c r="A14138" s="9" t="str">
        <f>HYPERLINK("http://www.eatonpowersource.com/products/configure/motors/details/112-1056-006","112-1056-006")</f>
        <v>112-1056-006</v>
      </c>
      <c r="B14138" s="10" t="s">
        <v>13703</v>
      </c>
    </row>
    <row r="14139" spans="1:2" x14ac:dyDescent="0.3">
      <c r="A14139" s="7" t="str">
        <f>HYPERLINK("http://www.eatonpowersource.com/products/configure/motors/details/112-1058-006","112-1058-006")</f>
        <v>112-1058-006</v>
      </c>
      <c r="B14139" s="8" t="s">
        <v>13704</v>
      </c>
    </row>
    <row r="14140" spans="1:2" x14ac:dyDescent="0.3">
      <c r="A14140" s="9" t="str">
        <f>HYPERLINK("http://www.eatonpowersource.com/products/configure/motors/details/112-1059-006","112-1059-006")</f>
        <v>112-1059-006</v>
      </c>
      <c r="B14140" s="10" t="s">
        <v>13705</v>
      </c>
    </row>
    <row r="14141" spans="1:2" x14ac:dyDescent="0.3">
      <c r="A14141" s="7" t="str">
        <f>HYPERLINK("http://www.eatonpowersource.com/products/configure/motors/details/112-1060-006","112-1060-006")</f>
        <v>112-1060-006</v>
      </c>
      <c r="B14141" s="8" t="s">
        <v>13706</v>
      </c>
    </row>
    <row r="14142" spans="1:2" x14ac:dyDescent="0.3">
      <c r="A14142" s="9" t="str">
        <f>HYPERLINK("http://www.eatonpowersource.com/products/configure/motors/details/112-1061-006","112-1061-006")</f>
        <v>112-1061-006</v>
      </c>
      <c r="B14142" s="10" t="s">
        <v>13707</v>
      </c>
    </row>
    <row r="14143" spans="1:2" x14ac:dyDescent="0.3">
      <c r="A14143" s="7" t="str">
        <f>HYPERLINK("http://www.eatonpowersource.com/products/configure/motors/details/112-1062-006","112-1062-006")</f>
        <v>112-1062-006</v>
      </c>
      <c r="B14143" s="8" t="s">
        <v>13708</v>
      </c>
    </row>
    <row r="14144" spans="1:2" x14ac:dyDescent="0.3">
      <c r="A14144" s="9" t="str">
        <f>HYPERLINK("http://www.eatonpowersource.com/products/configure/motors/details/112-1063-006","112-1063-006")</f>
        <v>112-1063-006</v>
      </c>
      <c r="B14144" s="10" t="s">
        <v>13709</v>
      </c>
    </row>
    <row r="14145" spans="1:2" x14ac:dyDescent="0.3">
      <c r="A14145" s="7" t="str">
        <f>HYPERLINK("http://www.eatonpowersource.com/products/configure/motors/details/112-1064-006","112-1064-006")</f>
        <v>112-1064-006</v>
      </c>
      <c r="B14145" s="8" t="s">
        <v>13710</v>
      </c>
    </row>
    <row r="14146" spans="1:2" x14ac:dyDescent="0.3">
      <c r="A14146" s="9" t="str">
        <f>HYPERLINK("http://www.eatonpowersource.com/products/configure/motors/details/112-1065-006","112-1065-006")</f>
        <v>112-1065-006</v>
      </c>
      <c r="B14146" s="10" t="s">
        <v>13711</v>
      </c>
    </row>
    <row r="14147" spans="1:2" x14ac:dyDescent="0.3">
      <c r="A14147" s="7" t="str">
        <f>HYPERLINK("http://www.eatonpowersource.com/products/configure/motors/details/112-1066-006","112-1066-006")</f>
        <v>112-1066-006</v>
      </c>
      <c r="B14147" s="8" t="s">
        <v>13712</v>
      </c>
    </row>
    <row r="14148" spans="1:2" x14ac:dyDescent="0.3">
      <c r="A14148" s="9" t="str">
        <f>HYPERLINK("http://www.eatonpowersource.com/products/configure/motors/details/112-1067-006","112-1067-006")</f>
        <v>112-1067-006</v>
      </c>
      <c r="B14148" s="10" t="s">
        <v>13713</v>
      </c>
    </row>
    <row r="14149" spans="1:2" x14ac:dyDescent="0.3">
      <c r="A14149" s="7" t="str">
        <f>HYPERLINK("http://www.eatonpowersource.com/products/configure/motors/details/112-1068-006","112-1068-006")</f>
        <v>112-1068-006</v>
      </c>
      <c r="B14149" s="8" t="s">
        <v>13714</v>
      </c>
    </row>
    <row r="14150" spans="1:2" x14ac:dyDescent="0.3">
      <c r="A14150" s="9" t="str">
        <f>HYPERLINK("http://www.eatonpowersource.com/products/configure/motors/details/112-1069-006","112-1069-006")</f>
        <v>112-1069-006</v>
      </c>
      <c r="B14150" s="10" t="s">
        <v>13715</v>
      </c>
    </row>
    <row r="14151" spans="1:2" x14ac:dyDescent="0.3">
      <c r="A14151" s="7" t="str">
        <f>HYPERLINK("http://www.eatonpowersource.com/products/configure/motors/details/112-1076-006","112-1076-006")</f>
        <v>112-1076-006</v>
      </c>
      <c r="B14151" s="8" t="s">
        <v>13716</v>
      </c>
    </row>
    <row r="14152" spans="1:2" x14ac:dyDescent="0.3">
      <c r="A14152" s="9" t="str">
        <f>HYPERLINK("http://www.eatonpowersource.com/products/configure/motors/details/112-1080-006","112-1080-006")</f>
        <v>112-1080-006</v>
      </c>
      <c r="B14152" s="10" t="s">
        <v>13717</v>
      </c>
    </row>
    <row r="14153" spans="1:2" x14ac:dyDescent="0.3">
      <c r="A14153" s="7" t="str">
        <f>HYPERLINK("http://www.eatonpowersource.com/products/configure/motors/details/112-1088-006","112-1088-006")</f>
        <v>112-1088-006</v>
      </c>
      <c r="B14153" s="8" t="s">
        <v>13718</v>
      </c>
    </row>
    <row r="14154" spans="1:2" x14ac:dyDescent="0.3">
      <c r="A14154" s="9" t="str">
        <f>HYPERLINK("http://www.eatonpowersource.com/products/configure/motors/details/112-1089-006","112-1089-006")</f>
        <v>112-1089-006</v>
      </c>
      <c r="B14154" s="10" t="s">
        <v>13719</v>
      </c>
    </row>
    <row r="14155" spans="1:2" x14ac:dyDescent="0.3">
      <c r="A14155" s="7" t="str">
        <f>HYPERLINK("http://www.eatonpowersource.com/products/configure/motors/details/112-1090-006","112-1090-006")</f>
        <v>112-1090-006</v>
      </c>
      <c r="B14155" s="8" t="s">
        <v>13720</v>
      </c>
    </row>
    <row r="14156" spans="1:2" x14ac:dyDescent="0.3">
      <c r="A14156" s="9" t="str">
        <f>HYPERLINK("http://www.eatonpowersource.com/products/configure/motors/details/112-1091-006","112-1091-006")</f>
        <v>112-1091-006</v>
      </c>
      <c r="B14156" s="10" t="s">
        <v>13721</v>
      </c>
    </row>
    <row r="14157" spans="1:2" x14ac:dyDescent="0.3">
      <c r="A14157" s="7" t="str">
        <f>HYPERLINK("http://www.eatonpowersource.com/products/configure/motors/details/112-1092-006","112-1092-006")</f>
        <v>112-1092-006</v>
      </c>
      <c r="B14157" s="8" t="s">
        <v>13722</v>
      </c>
    </row>
    <row r="14158" spans="1:2" x14ac:dyDescent="0.3">
      <c r="A14158" s="9" t="str">
        <f>HYPERLINK("http://www.eatonpowersource.com/products/configure/motors/details/112-1093-006","112-1093-006")</f>
        <v>112-1093-006</v>
      </c>
      <c r="B14158" s="10" t="s">
        <v>13723</v>
      </c>
    </row>
    <row r="14159" spans="1:2" x14ac:dyDescent="0.3">
      <c r="A14159" s="7" t="str">
        <f>HYPERLINK("http://www.eatonpowersource.com/products/configure/motors/details/112-1094-006","112-1094-006")</f>
        <v>112-1094-006</v>
      </c>
      <c r="B14159" s="8" t="s">
        <v>13724</v>
      </c>
    </row>
    <row r="14160" spans="1:2" x14ac:dyDescent="0.3">
      <c r="A14160" s="9" t="str">
        <f>HYPERLINK("http://www.eatonpowersource.com/products/configure/motors/details/112-1095-006","112-1095-006")</f>
        <v>112-1095-006</v>
      </c>
      <c r="B14160" s="10" t="s">
        <v>13725</v>
      </c>
    </row>
    <row r="14161" spans="1:2" x14ac:dyDescent="0.3">
      <c r="A14161" s="7" t="str">
        <f>HYPERLINK("http://www.eatonpowersource.com/products/configure/motors/details/112-1096-006","112-1096-006")</f>
        <v>112-1096-006</v>
      </c>
      <c r="B14161" s="8" t="s">
        <v>13726</v>
      </c>
    </row>
    <row r="14162" spans="1:2" x14ac:dyDescent="0.3">
      <c r="A14162" s="9" t="str">
        <f>HYPERLINK("http://www.eatonpowersource.com/products/configure/motors/details/112-1097-006","112-1097-006")</f>
        <v>112-1097-006</v>
      </c>
      <c r="B14162" s="10" t="s">
        <v>13727</v>
      </c>
    </row>
    <row r="14163" spans="1:2" x14ac:dyDescent="0.3">
      <c r="A14163" s="7" t="str">
        <f>HYPERLINK("http://www.eatonpowersource.com/products/configure/motors/details/112-1098-006","112-1098-006")</f>
        <v>112-1098-006</v>
      </c>
      <c r="B14163" s="8" t="s">
        <v>13728</v>
      </c>
    </row>
    <row r="14164" spans="1:2" x14ac:dyDescent="0.3">
      <c r="A14164" s="9" t="str">
        <f>HYPERLINK("http://www.eatonpowersource.com/products/configure/motors/details/112-1099-006","112-1099-006")</f>
        <v>112-1099-006</v>
      </c>
      <c r="B14164" s="10" t="s">
        <v>13729</v>
      </c>
    </row>
    <row r="14165" spans="1:2" x14ac:dyDescent="0.3">
      <c r="A14165" s="7" t="str">
        <f>HYPERLINK("http://www.eatonpowersource.com/products/configure/motors/details/112-1103-006","112-1103-006")</f>
        <v>112-1103-006</v>
      </c>
      <c r="B14165" s="8" t="s">
        <v>13730</v>
      </c>
    </row>
    <row r="14166" spans="1:2" x14ac:dyDescent="0.3">
      <c r="A14166" s="9" t="str">
        <f>HYPERLINK("http://www.eatonpowersource.com/products/configure/motors/details/112-1104-006","112-1104-006")</f>
        <v>112-1104-006</v>
      </c>
      <c r="B14166" s="10" t="s">
        <v>13731</v>
      </c>
    </row>
    <row r="14167" spans="1:2" x14ac:dyDescent="0.3">
      <c r="A14167" s="7" t="str">
        <f>HYPERLINK("http://www.eatonpowersource.com/products/configure/motors/details/112-1107-006","112-1107-006")</f>
        <v>112-1107-006</v>
      </c>
      <c r="B14167" s="8" t="s">
        <v>13732</v>
      </c>
    </row>
    <row r="14168" spans="1:2" x14ac:dyDescent="0.3">
      <c r="A14168" s="9" t="str">
        <f>HYPERLINK("http://www.eatonpowersource.com/products/configure/motors/details/112-1108-006","112-1108-006")</f>
        <v>112-1108-006</v>
      </c>
      <c r="B14168" s="10" t="s">
        <v>13733</v>
      </c>
    </row>
    <row r="14169" spans="1:2" x14ac:dyDescent="0.3">
      <c r="A14169" s="7" t="str">
        <f>HYPERLINK("http://www.eatonpowersource.com/products/configure/motors/details/112-1109-006","112-1109-006")</f>
        <v>112-1109-006</v>
      </c>
      <c r="B14169" s="8" t="s">
        <v>13734</v>
      </c>
    </row>
    <row r="14170" spans="1:2" x14ac:dyDescent="0.3">
      <c r="A14170" s="9" t="str">
        <f>HYPERLINK("http://www.eatonpowersource.com/products/configure/motors/details/112-1110-006","112-1110-006")</f>
        <v>112-1110-006</v>
      </c>
      <c r="B14170" s="10" t="s">
        <v>13735</v>
      </c>
    </row>
    <row r="14171" spans="1:2" x14ac:dyDescent="0.3">
      <c r="A14171" s="7" t="str">
        <f>HYPERLINK("http://www.eatonpowersource.com/products/configure/motors/details/112-1111-006","112-1111-006")</f>
        <v>112-1111-006</v>
      </c>
      <c r="B14171" s="8" t="s">
        <v>13736</v>
      </c>
    </row>
    <row r="14172" spans="1:2" x14ac:dyDescent="0.3">
      <c r="A14172" s="9" t="str">
        <f>HYPERLINK("http://www.eatonpowersource.com/products/configure/motors/details/112-1130-006","112-1130-006")</f>
        <v>112-1130-006</v>
      </c>
      <c r="B14172" s="10" t="s">
        <v>13737</v>
      </c>
    </row>
    <row r="14173" spans="1:2" x14ac:dyDescent="0.3">
      <c r="A14173" s="7" t="str">
        <f>HYPERLINK("http://www.eatonpowersource.com/products/configure/motors/details/112-1131-006","112-1131-006")</f>
        <v>112-1131-006</v>
      </c>
      <c r="B14173" s="8" t="s">
        <v>13738</v>
      </c>
    </row>
    <row r="14174" spans="1:2" x14ac:dyDescent="0.3">
      <c r="A14174" s="9" t="str">
        <f>HYPERLINK("http://www.eatonpowersource.com/products/configure/motors/details/112-1134-006","112-1134-006")</f>
        <v>112-1134-006</v>
      </c>
      <c r="B14174" s="10" t="s">
        <v>13739</v>
      </c>
    </row>
    <row r="14175" spans="1:2" x14ac:dyDescent="0.3">
      <c r="A14175" s="7" t="str">
        <f>HYPERLINK("http://www.eatonpowersource.com/products/configure/motors/details/112-1136-006","112-1136-006")</f>
        <v>112-1136-006</v>
      </c>
      <c r="B14175" s="8" t="s">
        <v>13740</v>
      </c>
    </row>
    <row r="14176" spans="1:2" x14ac:dyDescent="0.3">
      <c r="A14176" s="9" t="str">
        <f>HYPERLINK("http://www.eatonpowersource.com/products/configure/motors/details/112-1138-006","112-1138-006")</f>
        <v>112-1138-006</v>
      </c>
      <c r="B14176" s="10" t="s">
        <v>13741</v>
      </c>
    </row>
    <row r="14177" spans="1:2" x14ac:dyDescent="0.3">
      <c r="A14177" s="7" t="str">
        <f>HYPERLINK("http://www.eatonpowersource.com/products/configure/motors/details/112-1145-006","112-1145-006")</f>
        <v>112-1145-006</v>
      </c>
      <c r="B14177" s="8" t="s">
        <v>13742</v>
      </c>
    </row>
    <row r="14178" spans="1:2" x14ac:dyDescent="0.3">
      <c r="A14178" s="9" t="str">
        <f>HYPERLINK("http://www.eatonpowersource.com/products/configure/motors/details/112-1150-006","112-1150-006")</f>
        <v>112-1150-006</v>
      </c>
      <c r="B14178" s="10" t="s">
        <v>13743</v>
      </c>
    </row>
    <row r="14179" spans="1:2" x14ac:dyDescent="0.3">
      <c r="A14179" s="7" t="str">
        <f>HYPERLINK("http://www.eatonpowersource.com/products/configure/motors/details/112-1158-006","112-1158-006")</f>
        <v>112-1158-006</v>
      </c>
      <c r="B14179" s="8" t="s">
        <v>13744</v>
      </c>
    </row>
    <row r="14180" spans="1:2" x14ac:dyDescent="0.3">
      <c r="A14180" s="9" t="str">
        <f>HYPERLINK("http://www.eatonpowersource.com/products/configure/motors/details/112-1166-006","112-1166-006")</f>
        <v>112-1166-006</v>
      </c>
      <c r="B14180" s="10" t="s">
        <v>13745</v>
      </c>
    </row>
    <row r="14181" spans="1:2" x14ac:dyDescent="0.3">
      <c r="A14181" s="7" t="str">
        <f>HYPERLINK("http://www.eatonpowersource.com/products/configure/motors/details/112-1192-006","112-1192-006")</f>
        <v>112-1192-006</v>
      </c>
      <c r="B14181" s="8" t="s">
        <v>13746</v>
      </c>
    </row>
    <row r="14182" spans="1:2" x14ac:dyDescent="0.3">
      <c r="A14182" s="9" t="str">
        <f>HYPERLINK("http://www.eatonpowersource.com/products/configure/motors/details/112-1193-006","112-1193-006")</f>
        <v>112-1193-006</v>
      </c>
      <c r="B14182" s="10" t="s">
        <v>13747</v>
      </c>
    </row>
    <row r="14183" spans="1:2" x14ac:dyDescent="0.3">
      <c r="A14183" s="7" t="str">
        <f>HYPERLINK("http://www.eatonpowersource.com/products/configure/motors/details/112-1206-006","112-1206-006")</f>
        <v>112-1206-006</v>
      </c>
      <c r="B14183" s="8" t="s">
        <v>13748</v>
      </c>
    </row>
    <row r="14184" spans="1:2" x14ac:dyDescent="0.3">
      <c r="A14184" s="9" t="str">
        <f>HYPERLINK("http://www.eatonpowersource.com/products/configure/motors/details/112-1207-006","112-1207-006")</f>
        <v>112-1207-006</v>
      </c>
      <c r="B14184" s="10" t="s">
        <v>13749</v>
      </c>
    </row>
    <row r="14185" spans="1:2" x14ac:dyDescent="0.3">
      <c r="A14185" s="7" t="str">
        <f>HYPERLINK("http://www.eatonpowersource.com/products/configure/motors/details/112-1209-006","112-1209-006")</f>
        <v>112-1209-006</v>
      </c>
      <c r="B14185" s="8" t="s">
        <v>13750</v>
      </c>
    </row>
    <row r="14186" spans="1:2" x14ac:dyDescent="0.3">
      <c r="A14186" s="9" t="str">
        <f>HYPERLINK("http://www.eatonpowersource.com/products/configure/motors/details/112-1210-006","112-1210-006")</f>
        <v>112-1210-006</v>
      </c>
      <c r="B14186" s="10" t="s">
        <v>13751</v>
      </c>
    </row>
    <row r="14187" spans="1:2" x14ac:dyDescent="0.3">
      <c r="A14187" s="7" t="str">
        <f>HYPERLINK("http://www.eatonpowersource.com/products/configure/motors/details/112-1213-006","112-1213-006")</f>
        <v>112-1213-006</v>
      </c>
      <c r="B14187" s="8" t="s">
        <v>13752</v>
      </c>
    </row>
    <row r="14188" spans="1:2" x14ac:dyDescent="0.3">
      <c r="A14188" s="9" t="str">
        <f>HYPERLINK("http://www.eatonpowersource.com/products/configure/motors/details/112-1215-006","112-1215-006")</f>
        <v>112-1215-006</v>
      </c>
      <c r="B14188" s="10" t="s">
        <v>13753</v>
      </c>
    </row>
    <row r="14189" spans="1:2" x14ac:dyDescent="0.3">
      <c r="A14189" s="7" t="str">
        <f>HYPERLINK("http://www.eatonpowersource.com/products/configure/motors/details/112-1216-006","112-1216-006")</f>
        <v>112-1216-006</v>
      </c>
      <c r="B14189" s="8" t="s">
        <v>13754</v>
      </c>
    </row>
    <row r="14190" spans="1:2" x14ac:dyDescent="0.3">
      <c r="A14190" s="9" t="str">
        <f>HYPERLINK("http://www.eatonpowersource.com/products/configure/motors/details/112-1217-006","112-1217-006")</f>
        <v>112-1217-006</v>
      </c>
      <c r="B14190" s="10" t="s">
        <v>13755</v>
      </c>
    </row>
    <row r="14191" spans="1:2" x14ac:dyDescent="0.3">
      <c r="A14191" s="7" t="str">
        <f>HYPERLINK("http://www.eatonpowersource.com/products/configure/motors/details/112-1218-006","112-1218-006")</f>
        <v>112-1218-006</v>
      </c>
      <c r="B14191" s="8" t="s">
        <v>13756</v>
      </c>
    </row>
    <row r="14192" spans="1:2" x14ac:dyDescent="0.3">
      <c r="A14192" s="9" t="str">
        <f>HYPERLINK("http://www.eatonpowersource.com/products/configure/motors/details/112-1219-006","112-1219-006")</f>
        <v>112-1219-006</v>
      </c>
      <c r="B14192" s="10" t="s">
        <v>13757</v>
      </c>
    </row>
    <row r="14193" spans="1:2" x14ac:dyDescent="0.3">
      <c r="A14193" s="7" t="str">
        <f>HYPERLINK("http://www.eatonpowersource.com/products/configure/motors/details/112-1220-006","112-1220-006")</f>
        <v>112-1220-006</v>
      </c>
      <c r="B14193" s="8" t="s">
        <v>13758</v>
      </c>
    </row>
    <row r="14194" spans="1:2" x14ac:dyDescent="0.3">
      <c r="A14194" s="9" t="str">
        <f>HYPERLINK("http://www.eatonpowersource.com/products/configure/motors/details/112-1227-006","112-1227-006")</f>
        <v>112-1227-006</v>
      </c>
      <c r="B14194" s="10" t="s">
        <v>13759</v>
      </c>
    </row>
    <row r="14195" spans="1:2" x14ac:dyDescent="0.3">
      <c r="A14195" s="7" t="str">
        <f>HYPERLINK("http://www.eatonpowersource.com/products/configure/motors/details/112-1246-006","112-1246-006")</f>
        <v>112-1246-006</v>
      </c>
      <c r="B14195" s="8" t="s">
        <v>13760</v>
      </c>
    </row>
    <row r="14196" spans="1:2" x14ac:dyDescent="0.3">
      <c r="A14196" s="9" t="str">
        <f>HYPERLINK("http://www.eatonpowersource.com/products/configure/motors/details/112-1247-006","112-1247-006")</f>
        <v>112-1247-006</v>
      </c>
      <c r="B14196" s="10" t="s">
        <v>13761</v>
      </c>
    </row>
    <row r="14197" spans="1:2" x14ac:dyDescent="0.3">
      <c r="A14197" s="7" t="str">
        <f>HYPERLINK("http://www.eatonpowersource.com/products/configure/motors/details/112-1253-006","112-1253-006")</f>
        <v>112-1253-006</v>
      </c>
      <c r="B14197" s="8" t="s">
        <v>13762</v>
      </c>
    </row>
    <row r="14198" spans="1:2" x14ac:dyDescent="0.3">
      <c r="A14198" s="9" t="str">
        <f>HYPERLINK("http://www.eatonpowersource.com/products/configure/motors/details/112-1254-006","112-1254-006")</f>
        <v>112-1254-006</v>
      </c>
      <c r="B14198" s="10" t="s">
        <v>13763</v>
      </c>
    </row>
    <row r="14199" spans="1:2" x14ac:dyDescent="0.3">
      <c r="A14199" s="7" t="str">
        <f>HYPERLINK("http://www.eatonpowersource.com/products/configure/motors/details/112-1258-006","112-1258-006")</f>
        <v>112-1258-006</v>
      </c>
      <c r="B14199" s="8" t="s">
        <v>13764</v>
      </c>
    </row>
    <row r="14200" spans="1:2" x14ac:dyDescent="0.3">
      <c r="A14200" s="9" t="str">
        <f>HYPERLINK("http://www.eatonpowersource.com/products/configure/motors/details/112-1259-006","112-1259-006")</f>
        <v>112-1259-006</v>
      </c>
      <c r="B14200" s="10" t="s">
        <v>13765</v>
      </c>
    </row>
    <row r="14201" spans="1:2" x14ac:dyDescent="0.3">
      <c r="A14201" s="7" t="str">
        <f>HYPERLINK("http://www.eatonpowersource.com/products/configure/motors/details/112-1302-006","112-1302-006")</f>
        <v>112-1302-006</v>
      </c>
      <c r="B14201" s="8" t="s">
        <v>13766</v>
      </c>
    </row>
    <row r="14202" spans="1:2" x14ac:dyDescent="0.3">
      <c r="A14202" s="9" t="str">
        <f>HYPERLINK("http://www.eatonpowersource.com/products/configure/motors/details/112-1303-006","112-1303-006")</f>
        <v>112-1303-006</v>
      </c>
      <c r="B14202" s="10" t="s">
        <v>13767</v>
      </c>
    </row>
    <row r="14203" spans="1:2" x14ac:dyDescent="0.3">
      <c r="A14203" s="7" t="str">
        <f>HYPERLINK("http://www.eatonpowersource.com/products/configure/motors/details/112-1305-006","112-1305-006")</f>
        <v>112-1305-006</v>
      </c>
      <c r="B14203" s="8" t="s">
        <v>13768</v>
      </c>
    </row>
    <row r="14204" spans="1:2" x14ac:dyDescent="0.3">
      <c r="A14204" s="9" t="str">
        <f>HYPERLINK("http://www.eatonpowersource.com/products/configure/motors/details/112-1306-006","112-1306-006")</f>
        <v>112-1306-006</v>
      </c>
      <c r="B14204" s="10" t="s">
        <v>13769</v>
      </c>
    </row>
    <row r="14205" spans="1:2" x14ac:dyDescent="0.3">
      <c r="A14205" s="7" t="str">
        <f>HYPERLINK("http://www.eatonpowersource.com/products/configure/motors/details/112-1307-006","112-1307-006")</f>
        <v>112-1307-006</v>
      </c>
      <c r="B14205" s="8" t="s">
        <v>13770</v>
      </c>
    </row>
    <row r="14206" spans="1:2" x14ac:dyDescent="0.3">
      <c r="A14206" s="9" t="str">
        <f>HYPERLINK("http://www.eatonpowersource.com/products/configure/motors/details/112-1309-006","112-1309-006")</f>
        <v>112-1309-006</v>
      </c>
      <c r="B14206" s="10" t="s">
        <v>13771</v>
      </c>
    </row>
    <row r="14207" spans="1:2" x14ac:dyDescent="0.3">
      <c r="A14207" s="7" t="str">
        <f>HYPERLINK("http://www.eatonpowersource.com/products/configure/motors/details/112-1320-006","112-1320-006")</f>
        <v>112-1320-006</v>
      </c>
      <c r="B14207" s="8" t="s">
        <v>13772</v>
      </c>
    </row>
    <row r="14208" spans="1:2" x14ac:dyDescent="0.3">
      <c r="A14208" s="9" t="str">
        <f>HYPERLINK("http://www.eatonpowersource.com/products/configure/motors/details/112-1330-006","112-1330-006")</f>
        <v>112-1330-006</v>
      </c>
      <c r="B14208" s="10" t="s">
        <v>13773</v>
      </c>
    </row>
    <row r="14209" spans="1:2" x14ac:dyDescent="0.3">
      <c r="A14209" s="7" t="str">
        <f>HYPERLINK("http://www.eatonpowersource.com/products/configure/motors/details/112-1335-006","112-1335-006")</f>
        <v>112-1335-006</v>
      </c>
      <c r="B14209" s="8" t="s">
        <v>13774</v>
      </c>
    </row>
    <row r="14210" spans="1:2" x14ac:dyDescent="0.3">
      <c r="A14210" s="9" t="str">
        <f>HYPERLINK("http://www.eatonpowersource.com/products/configure/motors/details/112-1343-006","112-1343-006")</f>
        <v>112-1343-006</v>
      </c>
      <c r="B14210" s="10" t="s">
        <v>13775</v>
      </c>
    </row>
    <row r="14211" spans="1:2" x14ac:dyDescent="0.3">
      <c r="A14211" s="7" t="str">
        <f>HYPERLINK("http://www.eatonpowersource.com/products/configure/motors/details/112-1345-006","112-1345-006")</f>
        <v>112-1345-006</v>
      </c>
      <c r="B14211" s="8" t="s">
        <v>13776</v>
      </c>
    </row>
    <row r="14212" spans="1:2" x14ac:dyDescent="0.3">
      <c r="A14212" s="9" t="str">
        <f>HYPERLINK("http://www.eatonpowersource.com/products/configure/motors/details/112-1348-006","112-1348-006")</f>
        <v>112-1348-006</v>
      </c>
      <c r="B14212" s="10" t="s">
        <v>13777</v>
      </c>
    </row>
    <row r="14213" spans="1:2" x14ac:dyDescent="0.3">
      <c r="A14213" s="7" t="str">
        <f>HYPERLINK("http://www.eatonpowersource.com/products/configure/motors/details/112-1350-006","112-1350-006")</f>
        <v>112-1350-006</v>
      </c>
      <c r="B14213" s="8" t="s">
        <v>13778</v>
      </c>
    </row>
    <row r="14214" spans="1:2" x14ac:dyDescent="0.3">
      <c r="A14214" s="9" t="str">
        <f>HYPERLINK("http://www.eatonpowersource.com/products/configure/motors/details/112-1359-006","112-1359-006")</f>
        <v>112-1359-006</v>
      </c>
      <c r="B14214" s="10" t="s">
        <v>13779</v>
      </c>
    </row>
    <row r="14215" spans="1:2" x14ac:dyDescent="0.3">
      <c r="A14215" s="7" t="str">
        <f>HYPERLINK("http://www.eatonpowersource.com/products/configure/motors/details/112-1360-006","112-1360-006")</f>
        <v>112-1360-006</v>
      </c>
      <c r="B14215" s="8" t="s">
        <v>13780</v>
      </c>
    </row>
    <row r="14216" spans="1:2" x14ac:dyDescent="0.3">
      <c r="A14216" s="9" t="str">
        <f>HYPERLINK("http://www.eatonpowersource.com/products/configure/motors/details/112-1361-006","112-1361-006")</f>
        <v>112-1361-006</v>
      </c>
      <c r="B14216" s="10" t="s">
        <v>13781</v>
      </c>
    </row>
    <row r="14217" spans="1:2" x14ac:dyDescent="0.3">
      <c r="A14217" s="7" t="str">
        <f>HYPERLINK("http://www.eatonpowersource.com/products/configure/motors/details/112-1375-006","112-1375-006")</f>
        <v>112-1375-006</v>
      </c>
      <c r="B14217" s="8" t="s">
        <v>13782</v>
      </c>
    </row>
    <row r="14218" spans="1:2" x14ac:dyDescent="0.3">
      <c r="A14218" s="9" t="str">
        <f>HYPERLINK("http://www.eatonpowersource.com/products/configure/motors/details/112-1376-006","112-1376-006")</f>
        <v>112-1376-006</v>
      </c>
      <c r="B14218" s="10" t="s">
        <v>13783</v>
      </c>
    </row>
    <row r="14219" spans="1:2" x14ac:dyDescent="0.3">
      <c r="A14219" s="7" t="str">
        <f>HYPERLINK("http://www.eatonpowersource.com/products/configure/motors/details/112-1382-006","112-1382-006")</f>
        <v>112-1382-006</v>
      </c>
      <c r="B14219" s="8" t="s">
        <v>13784</v>
      </c>
    </row>
    <row r="14220" spans="1:2" x14ac:dyDescent="0.3">
      <c r="A14220" s="9" t="str">
        <f>HYPERLINK("http://www.eatonpowersource.com/products/configure/motors/details/112-1427-006","112-1427-006")</f>
        <v>112-1427-006</v>
      </c>
      <c r="B14220" s="10" t="s">
        <v>13785</v>
      </c>
    </row>
    <row r="14221" spans="1:2" x14ac:dyDescent="0.3">
      <c r="A14221" s="7" t="str">
        <f>HYPERLINK("http://www.eatonpowersource.com/products/configure/motors/details/112-1428-006","112-1428-006")</f>
        <v>112-1428-006</v>
      </c>
      <c r="B14221" s="8" t="s">
        <v>13786</v>
      </c>
    </row>
    <row r="14222" spans="1:2" x14ac:dyDescent="0.3">
      <c r="A14222" s="9" t="str">
        <f>HYPERLINK("http://www.eatonpowersource.com/products/configure/motors/details/112-1456-006","112-1456-006")</f>
        <v>112-1456-006</v>
      </c>
      <c r="B14222" s="10" t="s">
        <v>13787</v>
      </c>
    </row>
    <row r="14223" spans="1:2" x14ac:dyDescent="0.3">
      <c r="A14223" s="7" t="str">
        <f>HYPERLINK("http://www.eatonpowersource.com/products/configure/motors/details/112-1467-006","112-1467-006")</f>
        <v>112-1467-006</v>
      </c>
      <c r="B14223" s="8" t="s">
        <v>13788</v>
      </c>
    </row>
    <row r="14224" spans="1:2" x14ac:dyDescent="0.3">
      <c r="A14224" s="9" t="str">
        <f>HYPERLINK("http://www.eatonpowersource.com/products/configure/motors/details/112-1487-006","112-1487-006")</f>
        <v>112-1487-006</v>
      </c>
      <c r="B14224" s="10" t="s">
        <v>13789</v>
      </c>
    </row>
    <row r="14225" spans="1:2" x14ac:dyDescent="0.3">
      <c r="A14225" s="7" t="str">
        <f>HYPERLINK("http://www.eatonpowersource.com/products/configure/motors/details/112-1513-006","112-1513-006")</f>
        <v>112-1513-006</v>
      </c>
      <c r="B14225" s="8" t="s">
        <v>13790</v>
      </c>
    </row>
    <row r="14226" spans="1:2" x14ac:dyDescent="0.3">
      <c r="A14226" s="9" t="str">
        <f>HYPERLINK("http://www.eatonpowersource.com/products/configure/motors/details/112-1539-006","112-1539-006")</f>
        <v>112-1539-006</v>
      </c>
      <c r="B14226" s="10" t="s">
        <v>13791</v>
      </c>
    </row>
    <row r="14227" spans="1:2" x14ac:dyDescent="0.3">
      <c r="A14227" s="7" t="str">
        <f>HYPERLINK("http://www.eatonpowersource.com/products/configure/motors/details/112-1547-006","112-1547-006")</f>
        <v>112-1547-006</v>
      </c>
      <c r="B14227" s="8" t="s">
        <v>13792</v>
      </c>
    </row>
    <row r="14228" spans="1:2" x14ac:dyDescent="0.3">
      <c r="A14228" s="9" t="str">
        <f>HYPERLINK("http://www.eatonpowersource.com/products/configure/motors/details/112-1562-006","112-1562-006")</f>
        <v>112-1562-006</v>
      </c>
      <c r="B14228" s="10" t="s">
        <v>13793</v>
      </c>
    </row>
    <row r="14229" spans="1:2" x14ac:dyDescent="0.3">
      <c r="A14229" s="7" t="str">
        <f>HYPERLINK("http://www.eatonpowersource.com/products/configure/motors/details/112-1570-006","112-1570-006")</f>
        <v>112-1570-006</v>
      </c>
      <c r="B14229" s="8" t="s">
        <v>13794</v>
      </c>
    </row>
    <row r="14230" spans="1:2" x14ac:dyDescent="0.3">
      <c r="A14230" s="9" t="str">
        <f>HYPERLINK("http://www.eatonpowersource.com/products/configure/motors/details/112-1574-006","112-1574-006")</f>
        <v>112-1574-006</v>
      </c>
      <c r="B14230" s="10" t="s">
        <v>13795</v>
      </c>
    </row>
    <row r="14231" spans="1:2" x14ac:dyDescent="0.3">
      <c r="A14231" s="7" t="str">
        <f>HYPERLINK("http://www.eatonpowersource.com/products/configure/motors/details/112-1590-006","112-1590-006")</f>
        <v>112-1590-006</v>
      </c>
      <c r="B14231" s="8" t="s">
        <v>13796</v>
      </c>
    </row>
    <row r="14232" spans="1:2" x14ac:dyDescent="0.3">
      <c r="A14232" s="9" t="str">
        <f>HYPERLINK("http://www.eatonpowersource.com/products/configure/motors/details/113-1057-006","113-1057-006")</f>
        <v>113-1057-006</v>
      </c>
      <c r="B14232" s="10" t="s">
        <v>13797</v>
      </c>
    </row>
    <row r="14233" spans="1:2" x14ac:dyDescent="0.3">
      <c r="A14233" s="7" t="str">
        <f>HYPERLINK("http://www.eatonpowersource.com/products/configure/motors/details/113-1066-006","113-1066-006")</f>
        <v>113-1066-006</v>
      </c>
      <c r="B14233" s="8" t="s">
        <v>13798</v>
      </c>
    </row>
    <row r="14234" spans="1:2" x14ac:dyDescent="0.3">
      <c r="A14234" s="9" t="str">
        <f>HYPERLINK("http://www.eatonpowersource.com/products/configure/motors/details/113-1071-006","113-1071-006")</f>
        <v>113-1071-006</v>
      </c>
      <c r="B14234" s="10" t="s">
        <v>13799</v>
      </c>
    </row>
    <row r="14235" spans="1:2" x14ac:dyDescent="0.3">
      <c r="A14235" s="7" t="str">
        <f>HYPERLINK("http://www.eatonpowersource.com/products/configure/motors/details/113-1072-006","113-1072-006")</f>
        <v>113-1072-006</v>
      </c>
      <c r="B14235" s="8" t="s">
        <v>13800</v>
      </c>
    </row>
    <row r="14236" spans="1:2" x14ac:dyDescent="0.3">
      <c r="A14236" s="9" t="str">
        <f>HYPERLINK("http://www.eatonpowersource.com/products/configure/motors/details/113-1073-006","113-1073-006")</f>
        <v>113-1073-006</v>
      </c>
      <c r="B14236" s="10" t="s">
        <v>13801</v>
      </c>
    </row>
    <row r="14237" spans="1:2" x14ac:dyDescent="0.3">
      <c r="A14237" s="7" t="str">
        <f>HYPERLINK("http://www.eatonpowersource.com/products/configure/motors/details/113-1074-006","113-1074-006")</f>
        <v>113-1074-006</v>
      </c>
      <c r="B14237" s="8" t="s">
        <v>13802</v>
      </c>
    </row>
    <row r="14238" spans="1:2" x14ac:dyDescent="0.3">
      <c r="A14238" s="9" t="str">
        <f>HYPERLINK("http://www.eatonpowersource.com/products/configure/motors/details/113-1075-006","113-1075-006")</f>
        <v>113-1075-006</v>
      </c>
      <c r="B14238" s="10" t="s">
        <v>13803</v>
      </c>
    </row>
    <row r="14239" spans="1:2" x14ac:dyDescent="0.3">
      <c r="A14239" s="7" t="str">
        <f>HYPERLINK("http://www.eatonpowersource.com/products/configure/motors/details/113-1082-006","113-1082-006")</f>
        <v>113-1082-006</v>
      </c>
      <c r="B14239" s="8" t="s">
        <v>13804</v>
      </c>
    </row>
    <row r="14240" spans="1:2" x14ac:dyDescent="0.3">
      <c r="A14240" s="9" t="str">
        <f>HYPERLINK("http://www.eatonpowersource.com/products/configure/motors/details/113-1085-006","113-1085-006")</f>
        <v>113-1085-006</v>
      </c>
      <c r="B14240" s="10" t="s">
        <v>13805</v>
      </c>
    </row>
    <row r="14241" spans="1:2" x14ac:dyDescent="0.3">
      <c r="A14241" s="7" t="str">
        <f>HYPERLINK("http://www.eatonpowersource.com/products/configure/motors/details/113-1086-006","113-1086-006")</f>
        <v>113-1086-006</v>
      </c>
      <c r="B14241" s="8" t="s">
        <v>13806</v>
      </c>
    </row>
    <row r="14242" spans="1:2" x14ac:dyDescent="0.3">
      <c r="A14242" s="9" t="str">
        <f>HYPERLINK("http://www.eatonpowersource.com/products/configure/motors/details/113-1095-006","113-1095-006")</f>
        <v>113-1095-006</v>
      </c>
      <c r="B14242" s="10" t="s">
        <v>13807</v>
      </c>
    </row>
    <row r="14243" spans="1:2" x14ac:dyDescent="0.3">
      <c r="A14243" s="7" t="str">
        <f>HYPERLINK("http://www.eatonpowersource.com/products/configure/motors/details/113-1101-006","113-1101-006")</f>
        <v>113-1101-006</v>
      </c>
      <c r="B14243" s="8" t="s">
        <v>13808</v>
      </c>
    </row>
    <row r="14244" spans="1:2" x14ac:dyDescent="0.3">
      <c r="A14244" s="9" t="str">
        <f>HYPERLINK("http://www.eatonpowersource.com/products/configure/motors/details/113-1103-006","113-1103-006")</f>
        <v>113-1103-006</v>
      </c>
      <c r="B14244" s="10" t="s">
        <v>13809</v>
      </c>
    </row>
    <row r="14245" spans="1:2" x14ac:dyDescent="0.3">
      <c r="A14245" s="7" t="str">
        <f>HYPERLINK("http://www.eatonpowersource.com/products/configure/motors/details/113-1108-006","113-1108-006")</f>
        <v>113-1108-006</v>
      </c>
      <c r="B14245" s="8" t="s">
        <v>13810</v>
      </c>
    </row>
    <row r="14246" spans="1:2" x14ac:dyDescent="0.3">
      <c r="A14246" s="9" t="str">
        <f>HYPERLINK("http://www.eatonpowersource.com/products/configure/motors/details/113-1121-006","113-1121-006")</f>
        <v>113-1121-006</v>
      </c>
      <c r="B14246" s="10" t="s">
        <v>13811</v>
      </c>
    </row>
    <row r="14247" spans="1:2" x14ac:dyDescent="0.3">
      <c r="A14247" s="7" t="str">
        <f>HYPERLINK("http://www.eatonpowersource.com/products/configure/motors/details/113-1124-006","113-1124-006")</f>
        <v>113-1124-006</v>
      </c>
      <c r="B14247" s="8" t="s">
        <v>13812</v>
      </c>
    </row>
    <row r="14248" spans="1:2" x14ac:dyDescent="0.3">
      <c r="A14248" s="9" t="str">
        <f>HYPERLINK("http://www.eatonpowersource.com/products/configure/motors/details/113-1133-006","113-1133-006")</f>
        <v>113-1133-006</v>
      </c>
      <c r="B14248" s="10" t="s">
        <v>13813</v>
      </c>
    </row>
    <row r="14249" spans="1:2" x14ac:dyDescent="0.3">
      <c r="A14249" s="7" t="str">
        <f>HYPERLINK("http://www.eatonpowersource.com/products/configure/motors/details/113-1143-006","113-1143-006")</f>
        <v>113-1143-006</v>
      </c>
      <c r="B14249" s="8" t="s">
        <v>13814</v>
      </c>
    </row>
    <row r="14250" spans="1:2" x14ac:dyDescent="0.3">
      <c r="A14250" s="9" t="str">
        <f>HYPERLINK("http://www.eatonpowersource.com/products/configure/motors/details/113-1150-006","113-1150-006")</f>
        <v>113-1150-006</v>
      </c>
      <c r="B14250" s="10" t="s">
        <v>13815</v>
      </c>
    </row>
    <row r="14251" spans="1:2" x14ac:dyDescent="0.3">
      <c r="A14251" s="7" t="str">
        <f>HYPERLINK("http://www.eatonpowersource.com/products/configure/motors/details/113-1161-006","113-1161-006")</f>
        <v>113-1161-006</v>
      </c>
      <c r="B14251" s="8" t="s">
        <v>13816</v>
      </c>
    </row>
    <row r="14252" spans="1:2" x14ac:dyDescent="0.3">
      <c r="A14252" s="9" t="str">
        <f>HYPERLINK("http://www.eatonpowersource.com/products/configure/motors/details/114-1020-006","114-1020-006")</f>
        <v>114-1020-006</v>
      </c>
      <c r="B14252" s="10" t="s">
        <v>13817</v>
      </c>
    </row>
    <row r="14253" spans="1:2" x14ac:dyDescent="0.3">
      <c r="A14253" s="7" t="str">
        <f>HYPERLINK("http://www.eatonpowersource.com/products/configure/motors/details/114-1031-006","114-1031-006")</f>
        <v>114-1031-006</v>
      </c>
      <c r="B14253" s="8" t="s">
        <v>13818</v>
      </c>
    </row>
    <row r="14254" spans="1:2" x14ac:dyDescent="0.3">
      <c r="A14254" s="9" t="str">
        <f>HYPERLINK("http://www.eatonpowersource.com/products/configure/motors/details/114-1034-006","114-1034-006")</f>
        <v>114-1034-006</v>
      </c>
      <c r="B14254" s="10" t="s">
        <v>13819</v>
      </c>
    </row>
    <row r="14255" spans="1:2" x14ac:dyDescent="0.3">
      <c r="A14255" s="7" t="str">
        <f>HYPERLINK("http://www.eatonpowersource.com/products/configure/motors/details/114-1043-006","114-1043-006")</f>
        <v>114-1043-006</v>
      </c>
      <c r="B14255" s="8" t="s">
        <v>13820</v>
      </c>
    </row>
    <row r="14256" spans="1:2" x14ac:dyDescent="0.3">
      <c r="A14256" s="9" t="str">
        <f>HYPERLINK("http://www.eatonpowersource.com/products/configure/motors/details/114-1044-006","114-1044-006")</f>
        <v>114-1044-006</v>
      </c>
      <c r="B14256" s="10" t="s">
        <v>13821</v>
      </c>
    </row>
    <row r="14257" spans="1:2" x14ac:dyDescent="0.3">
      <c r="A14257" s="7" t="str">
        <f>HYPERLINK("http://www.eatonpowersource.com/products/configure/motors/details/114-1045-006","114-1045-006")</f>
        <v>114-1045-006</v>
      </c>
      <c r="B14257" s="8" t="s">
        <v>13822</v>
      </c>
    </row>
    <row r="14258" spans="1:2" x14ac:dyDescent="0.3">
      <c r="A14258" s="9" t="str">
        <f>HYPERLINK("http://www.eatonpowersource.com/products/configure/motors/details/114-1047-006","114-1047-006")</f>
        <v>114-1047-006</v>
      </c>
      <c r="B14258" s="10" t="s">
        <v>13823</v>
      </c>
    </row>
    <row r="14259" spans="1:2" x14ac:dyDescent="0.3">
      <c r="A14259" s="7" t="str">
        <f>HYPERLINK("http://www.eatonpowersource.com/products/configure/motors/details/114-1048-006","114-1048-006")</f>
        <v>114-1048-006</v>
      </c>
      <c r="B14259" s="8" t="s">
        <v>13824</v>
      </c>
    </row>
    <row r="14260" spans="1:2" x14ac:dyDescent="0.3">
      <c r="A14260" s="9" t="str">
        <f>HYPERLINK("http://www.eatonpowersource.com/products/configure/motors/details/114-1055-006","114-1055-006")</f>
        <v>114-1055-006</v>
      </c>
      <c r="B14260" s="10" t="s">
        <v>13825</v>
      </c>
    </row>
    <row r="14261" spans="1:2" x14ac:dyDescent="0.3">
      <c r="A14261" s="7" t="str">
        <f>HYPERLINK("http://www.eatonpowersource.com/products/configure/motors/details/114-1056-006","114-1056-006")</f>
        <v>114-1056-006</v>
      </c>
      <c r="B14261" s="8" t="s">
        <v>13826</v>
      </c>
    </row>
    <row r="14262" spans="1:2" x14ac:dyDescent="0.3">
      <c r="A14262" s="9" t="str">
        <f>HYPERLINK("http://www.eatonpowersource.com/products/configure/motors/details/114-1065-006","114-1065-006")</f>
        <v>114-1065-006</v>
      </c>
      <c r="B14262" s="10" t="s">
        <v>13827</v>
      </c>
    </row>
    <row r="14263" spans="1:2" x14ac:dyDescent="0.3">
      <c r="A14263" s="7" t="str">
        <f>HYPERLINK("http://www.eatonpowersource.com/products/configure/motors/details/114-1079-006","114-1079-006")</f>
        <v>114-1079-006</v>
      </c>
      <c r="B14263" s="8" t="s">
        <v>13828</v>
      </c>
    </row>
    <row r="14264" spans="1:2" x14ac:dyDescent="0.3">
      <c r="A14264" s="9" t="str">
        <f>HYPERLINK("http://www.eatonpowersource.com/products/configure/motors/details/114-1080-006","114-1080-006")</f>
        <v>114-1080-006</v>
      </c>
      <c r="B14264" s="10" t="s">
        <v>13829</v>
      </c>
    </row>
    <row r="14265" spans="1:2" x14ac:dyDescent="0.3">
      <c r="A14265" s="7" t="str">
        <f>HYPERLINK("http://www.eatonpowersource.com/products/configure/motors/details/114-1082-006","114-1082-006")</f>
        <v>114-1082-006</v>
      </c>
      <c r="B14265" s="8" t="s">
        <v>13830</v>
      </c>
    </row>
    <row r="14266" spans="1:2" x14ac:dyDescent="0.3">
      <c r="A14266" s="9" t="str">
        <f>HYPERLINK("http://www.eatonpowersource.com/products/configure/motors/details/114-1084-006","114-1084-006")</f>
        <v>114-1084-006</v>
      </c>
      <c r="B14266" s="10" t="s">
        <v>13831</v>
      </c>
    </row>
    <row r="14267" spans="1:2" x14ac:dyDescent="0.3">
      <c r="A14267" s="7" t="str">
        <f>HYPERLINK("http://www.eatonpowersource.com/products/configure/motors/details/114-1086-006","114-1086-006")</f>
        <v>114-1086-006</v>
      </c>
      <c r="B14267" s="8" t="s">
        <v>13832</v>
      </c>
    </row>
    <row r="14268" spans="1:2" x14ac:dyDescent="0.3">
      <c r="A14268" s="9" t="str">
        <f>HYPERLINK("http://www.eatonpowersource.com/products/configure/motors/details/114-1090-006","114-1090-006")</f>
        <v>114-1090-006</v>
      </c>
      <c r="B14268" s="10" t="s">
        <v>13833</v>
      </c>
    </row>
    <row r="14269" spans="1:2" x14ac:dyDescent="0.3">
      <c r="A14269" s="7" t="str">
        <f>HYPERLINK("http://www.eatonpowersource.com/products/configure/motors/details/114-1122-006","114-1122-006")</f>
        <v>114-1122-006</v>
      </c>
      <c r="B14269" s="8" t="s">
        <v>13834</v>
      </c>
    </row>
    <row r="14270" spans="1:2" x14ac:dyDescent="0.3">
      <c r="A14270" s="9" t="str">
        <f>HYPERLINK("http://www.eatonpowersource.com/products/configure/motors/details/114-1131-006","114-1131-006")</f>
        <v>114-1131-006</v>
      </c>
      <c r="B14270" s="10" t="s">
        <v>13835</v>
      </c>
    </row>
    <row r="14271" spans="1:2" x14ac:dyDescent="0.3">
      <c r="A14271" s="7" t="str">
        <f>HYPERLINK("http://www.eatonpowersource.com/products/configure/motors/details/114-1141-006","114-1141-006")</f>
        <v>114-1141-006</v>
      </c>
      <c r="B14271" s="8" t="s">
        <v>13836</v>
      </c>
    </row>
    <row r="14272" spans="1:2" x14ac:dyDescent="0.3">
      <c r="A14272" s="9" t="str">
        <f>HYPERLINK("http://www.eatonpowersource.com/products/configure/motors/details/158-3974-001","158-3974-001")</f>
        <v>158-3974-001</v>
      </c>
      <c r="B14272" s="10" t="s">
        <v>13837</v>
      </c>
    </row>
    <row r="14273" spans="1:2" x14ac:dyDescent="0.3">
      <c r="A14273" s="7" t="str">
        <f>HYPERLINK("http://www.eatonpowersource.com/products/configure/motors/details/119-1028-003","119-1028-003")</f>
        <v>119-1028-003</v>
      </c>
      <c r="B14273" s="8" t="s">
        <v>13838</v>
      </c>
    </row>
    <row r="14274" spans="1:2" x14ac:dyDescent="0.3">
      <c r="A14274" s="9" t="str">
        <f>HYPERLINK("http://www.eatonpowersource.com/products/configure/motors/details/119-1029-003","119-1029-003")</f>
        <v>119-1029-003</v>
      </c>
      <c r="B14274" s="10" t="s">
        <v>13839</v>
      </c>
    </row>
    <row r="14275" spans="1:2" x14ac:dyDescent="0.3">
      <c r="A14275" s="7" t="str">
        <f>HYPERLINK("http://www.eatonpowersource.com/products/configure/motors/details/119-1030-003","119-1030-003")</f>
        <v>119-1030-003</v>
      </c>
      <c r="B14275" s="8" t="s">
        <v>13840</v>
      </c>
    </row>
    <row r="14276" spans="1:2" x14ac:dyDescent="0.3">
      <c r="A14276" s="9" t="str">
        <f>HYPERLINK("http://www.eatonpowersource.com/products/configure/motors/details/119-1031-003","119-1031-003")</f>
        <v>119-1031-003</v>
      </c>
      <c r="B14276" s="10" t="s">
        <v>13841</v>
      </c>
    </row>
    <row r="14277" spans="1:2" x14ac:dyDescent="0.3">
      <c r="A14277" s="7" t="str">
        <f>HYPERLINK("http://www.eatonpowersource.com/products/configure/motors/details/119-1032-003","119-1032-003")</f>
        <v>119-1032-003</v>
      </c>
      <c r="B14277" s="8" t="s">
        <v>13842</v>
      </c>
    </row>
    <row r="14278" spans="1:2" x14ac:dyDescent="0.3">
      <c r="A14278" s="9" t="str">
        <f>HYPERLINK("http://www.eatonpowersource.com/products/configure/motors/details/119-1033-003","119-1033-003")</f>
        <v>119-1033-003</v>
      </c>
      <c r="B14278" s="10" t="s">
        <v>13843</v>
      </c>
    </row>
    <row r="14279" spans="1:2" x14ac:dyDescent="0.3">
      <c r="A14279" s="7" t="str">
        <f>HYPERLINK("http://www.eatonpowersource.com/products/configure/motors/details/119-1034-003","119-1034-003")</f>
        <v>119-1034-003</v>
      </c>
      <c r="B14279" s="8" t="s">
        <v>13844</v>
      </c>
    </row>
    <row r="14280" spans="1:2" x14ac:dyDescent="0.3">
      <c r="A14280" s="9" t="str">
        <f>HYPERLINK("http://www.eatonpowersource.com/products/configure/motors/details/119-1035-003","119-1035-003")</f>
        <v>119-1035-003</v>
      </c>
      <c r="B14280" s="10" t="s">
        <v>13845</v>
      </c>
    </row>
    <row r="14281" spans="1:2" x14ac:dyDescent="0.3">
      <c r="A14281" s="7" t="str">
        <f>HYPERLINK("http://www.eatonpowersource.com/products/configure/motors/details/119-1036-003","119-1036-003")</f>
        <v>119-1036-003</v>
      </c>
      <c r="B14281" s="8" t="s">
        <v>13846</v>
      </c>
    </row>
    <row r="14282" spans="1:2" x14ac:dyDescent="0.3">
      <c r="A14282" s="9" t="str">
        <f>HYPERLINK("http://www.eatonpowersource.com/products/configure/motors/details/119-1037-003","119-1037-003")</f>
        <v>119-1037-003</v>
      </c>
      <c r="B14282" s="10" t="s">
        <v>13847</v>
      </c>
    </row>
    <row r="14283" spans="1:2" x14ac:dyDescent="0.3">
      <c r="A14283" s="7" t="str">
        <f>HYPERLINK("http://www.eatonpowersource.com/products/configure/motors/details/119-1040-003","119-1040-003")</f>
        <v>119-1040-003</v>
      </c>
      <c r="B14283" s="8" t="s">
        <v>13848</v>
      </c>
    </row>
    <row r="14284" spans="1:2" x14ac:dyDescent="0.3">
      <c r="A14284" s="9" t="str">
        <f>HYPERLINK("http://www.eatonpowersource.com/products/configure/motors/details/119-1041-003","119-1041-003")</f>
        <v>119-1041-003</v>
      </c>
      <c r="B14284" s="10" t="s">
        <v>13849</v>
      </c>
    </row>
    <row r="14285" spans="1:2" x14ac:dyDescent="0.3">
      <c r="A14285" s="7" t="str">
        <f>HYPERLINK("http://www.eatonpowersource.com/products/configure/motors/details/119-1042-003","119-1042-003")</f>
        <v>119-1042-003</v>
      </c>
      <c r="B14285" s="8" t="s">
        <v>13850</v>
      </c>
    </row>
    <row r="14286" spans="1:2" x14ac:dyDescent="0.3">
      <c r="A14286" s="9" t="str">
        <f>HYPERLINK("http://www.eatonpowersource.com/products/configure/motors/details/119-1043-003","119-1043-003")</f>
        <v>119-1043-003</v>
      </c>
      <c r="B14286" s="10" t="s">
        <v>13851</v>
      </c>
    </row>
    <row r="14287" spans="1:2" x14ac:dyDescent="0.3">
      <c r="A14287" s="7" t="str">
        <f>HYPERLINK("http://www.eatonpowersource.com/products/configure/motors/details/119-1045-003","119-1045-003")</f>
        <v>119-1045-003</v>
      </c>
      <c r="B14287" s="8" t="s">
        <v>13852</v>
      </c>
    </row>
    <row r="14288" spans="1:2" x14ac:dyDescent="0.3">
      <c r="A14288" s="9" t="str">
        <f>HYPERLINK("http://www.eatonpowersource.com/products/configure/motors/details/119-1047-003","119-1047-003")</f>
        <v>119-1047-003</v>
      </c>
      <c r="B14288" s="10" t="s">
        <v>13853</v>
      </c>
    </row>
    <row r="14289" spans="1:2" x14ac:dyDescent="0.3">
      <c r="A14289" s="7" t="str">
        <f>HYPERLINK("http://www.eatonpowersource.com/products/configure/motors/details/119-1049-003","119-1049-003")</f>
        <v>119-1049-003</v>
      </c>
      <c r="B14289" s="8" t="s">
        <v>13854</v>
      </c>
    </row>
    <row r="14290" spans="1:2" x14ac:dyDescent="0.3">
      <c r="A14290" s="9" t="str">
        <f>HYPERLINK("http://www.eatonpowersource.com/products/configure/motors/details/119-1089-003","119-1089-003")</f>
        <v>119-1089-003</v>
      </c>
      <c r="B14290" s="10" t="s">
        <v>13855</v>
      </c>
    </row>
    <row r="14291" spans="1:2" x14ac:dyDescent="0.3">
      <c r="A14291" s="7" t="str">
        <f>HYPERLINK("http://www.eatonpowersource.com/products/configure/motors/details/119-1095-003","119-1095-003")</f>
        <v>119-1095-003</v>
      </c>
      <c r="B14291" s="8" t="s">
        <v>13856</v>
      </c>
    </row>
    <row r="14292" spans="1:2" x14ac:dyDescent="0.3">
      <c r="A14292" s="9" t="str">
        <f>HYPERLINK("http://www.eatonpowersource.com/products/configure/motors/details/119-1107-003","119-1107-003")</f>
        <v>119-1107-003</v>
      </c>
      <c r="B14292" s="10" t="s">
        <v>13857</v>
      </c>
    </row>
    <row r="14293" spans="1:2" x14ac:dyDescent="0.3">
      <c r="A14293" s="7" t="str">
        <f>HYPERLINK("http://www.eatonpowersource.com/products/configure/motors/details/119-1116-003","119-1116-003")</f>
        <v>119-1116-003</v>
      </c>
      <c r="B14293" s="8" t="s">
        <v>13858</v>
      </c>
    </row>
    <row r="14294" spans="1:2" x14ac:dyDescent="0.3">
      <c r="A14294" s="9" t="str">
        <f>HYPERLINK("http://www.eatonpowersource.com/products/configure/motors/details/119-1117-003","119-1117-003")</f>
        <v>119-1117-003</v>
      </c>
      <c r="B14294" s="10" t="s">
        <v>13859</v>
      </c>
    </row>
    <row r="14295" spans="1:2" x14ac:dyDescent="0.3">
      <c r="A14295" s="7" t="str">
        <f>HYPERLINK("http://www.eatonpowersource.com/products/configure/motors/details/119-1123-003","119-1123-003")</f>
        <v>119-1123-003</v>
      </c>
      <c r="B14295" s="8" t="s">
        <v>13860</v>
      </c>
    </row>
    <row r="14296" spans="1:2" x14ac:dyDescent="0.3">
      <c r="A14296" s="9" t="str">
        <f>HYPERLINK("http://www.eatonpowersource.com/products/configure/motors/details/120-1007-003","120-1007-003")</f>
        <v>120-1007-003</v>
      </c>
      <c r="B14296" s="10" t="s">
        <v>13861</v>
      </c>
    </row>
    <row r="14297" spans="1:2" x14ac:dyDescent="0.3">
      <c r="A14297" s="7" t="str">
        <f>HYPERLINK("http://www.eatonpowersource.com/products/configure/motors/details/120-1008-003","120-1008-003")</f>
        <v>120-1008-003</v>
      </c>
      <c r="B14297" s="8" t="s">
        <v>13862</v>
      </c>
    </row>
    <row r="14298" spans="1:2" x14ac:dyDescent="0.3">
      <c r="A14298" s="9" t="str">
        <f>HYPERLINK("http://www.eatonpowersource.com/products/configure/motors/details/120-1013-003","120-1013-003")</f>
        <v>120-1013-003</v>
      </c>
      <c r="B14298" s="10" t="s">
        <v>13863</v>
      </c>
    </row>
    <row r="14299" spans="1:2" x14ac:dyDescent="0.3">
      <c r="A14299" s="7" t="str">
        <f>HYPERLINK("http://www.eatonpowersource.com/products/configure/motors/details/120-1014-003","120-1014-003")</f>
        <v>120-1014-003</v>
      </c>
      <c r="B14299" s="8" t="s">
        <v>13864</v>
      </c>
    </row>
    <row r="14300" spans="1:2" x14ac:dyDescent="0.3">
      <c r="A14300" s="9" t="str">
        <f>HYPERLINK("http://www.eatonpowersource.com/products/configure/motors/details/120-1015-003","120-1015-003")</f>
        <v>120-1015-003</v>
      </c>
      <c r="B14300" s="10" t="s">
        <v>13865</v>
      </c>
    </row>
    <row r="14301" spans="1:2" x14ac:dyDescent="0.3">
      <c r="A14301" s="7" t="str">
        <f>HYPERLINK("http://www.eatonpowersource.com/products/configure/motors/details/120-1016-003","120-1016-003")</f>
        <v>120-1016-003</v>
      </c>
      <c r="B14301" s="8" t="s">
        <v>13866</v>
      </c>
    </row>
    <row r="14302" spans="1:2" x14ac:dyDescent="0.3">
      <c r="A14302" s="9" t="str">
        <f>HYPERLINK("http://www.eatonpowersource.com/products/configure/motors/details/120-1020-003","120-1020-003")</f>
        <v>120-1020-003</v>
      </c>
      <c r="B14302" s="10" t="s">
        <v>13867</v>
      </c>
    </row>
    <row r="14303" spans="1:2" x14ac:dyDescent="0.3">
      <c r="A14303" s="7" t="str">
        <f>HYPERLINK("http://www.eatonpowersource.com/products/configure/motors/details/120-1027-003","120-1027-003")</f>
        <v>120-1027-003</v>
      </c>
      <c r="B14303" s="8" t="s">
        <v>13868</v>
      </c>
    </row>
    <row r="14304" spans="1:2" x14ac:dyDescent="0.3">
      <c r="A14304" s="9" t="str">
        <f>HYPERLINK("http://www.eatonpowersource.com/products/configure/motors/details/120-1028-003","120-1028-003")</f>
        <v>120-1028-003</v>
      </c>
      <c r="B14304" s="10" t="s">
        <v>13869</v>
      </c>
    </row>
    <row r="14305" spans="1:2" x14ac:dyDescent="0.3">
      <c r="A14305" s="7" t="str">
        <f>HYPERLINK("http://www.eatonpowersource.com/products/configure/motors/details/120-1030-003","120-1030-003")</f>
        <v>120-1030-003</v>
      </c>
      <c r="B14305" s="8" t="s">
        <v>13870</v>
      </c>
    </row>
    <row r="14306" spans="1:2" x14ac:dyDescent="0.3">
      <c r="A14306" s="9" t="str">
        <f>HYPERLINK("http://www.eatonpowersource.com/products/configure/motors/details/167-0005-001","167-0005-001")</f>
        <v>167-0005-001</v>
      </c>
      <c r="B14306" s="10" t="s">
        <v>13871</v>
      </c>
    </row>
    <row r="14307" spans="1:2" x14ac:dyDescent="0.3">
      <c r="A14307" s="7" t="str">
        <f>HYPERLINK("http://www.eatonpowersource.com/products/configure/motors/details/167-0007-001","167-0007-001")</f>
        <v>167-0007-001</v>
      </c>
      <c r="B14307" s="8" t="s">
        <v>13872</v>
      </c>
    </row>
    <row r="14308" spans="1:2" x14ac:dyDescent="0.3">
      <c r="A14308" s="9" t="str">
        <f>HYPERLINK("http://www.eatonpowersource.com/products/configure/motors/details/167-0024-001","167-0024-001")</f>
        <v>167-0024-001</v>
      </c>
      <c r="B14308" s="10" t="s">
        <v>13873</v>
      </c>
    </row>
    <row r="14309" spans="1:2" x14ac:dyDescent="0.3">
      <c r="A14309" s="7" t="str">
        <f>HYPERLINK("http://www.eatonpowersource.com/products/configure/motors/details/167-0025-001","167-0025-001")</f>
        <v>167-0025-001</v>
      </c>
      <c r="B14309" s="8" t="s">
        <v>13874</v>
      </c>
    </row>
    <row r="14310" spans="1:2" x14ac:dyDescent="0.3">
      <c r="A14310" s="9" t="str">
        <f>HYPERLINK("http://www.eatonpowersource.com/products/configure/motors/details/167-0039-001","167-0039-001")</f>
        <v>167-0039-001</v>
      </c>
      <c r="B14310" s="10" t="s">
        <v>13875</v>
      </c>
    </row>
    <row r="14311" spans="1:2" x14ac:dyDescent="0.3">
      <c r="A14311" s="7" t="str">
        <f>HYPERLINK("http://www.eatonpowersource.com/products/configure/motors/details/167-0044-001","167-0044-001")</f>
        <v>167-0044-001</v>
      </c>
      <c r="B14311" s="8" t="s">
        <v>13876</v>
      </c>
    </row>
    <row r="14312" spans="1:2" x14ac:dyDescent="0.3">
      <c r="A14312" s="9" t="str">
        <f>HYPERLINK("http://www.eatonpowersource.com/products/configure/motors/details/167-0047-001","167-0047-001")</f>
        <v>167-0047-001</v>
      </c>
      <c r="B14312" s="10" t="s">
        <v>13877</v>
      </c>
    </row>
    <row r="14313" spans="1:2" x14ac:dyDescent="0.3">
      <c r="A14313" s="7" t="str">
        <f>HYPERLINK("http://www.eatonpowersource.com/products/configure/motors/details/167-0054-001","167-0054-001")</f>
        <v>167-0054-001</v>
      </c>
      <c r="B14313" s="8" t="s">
        <v>13878</v>
      </c>
    </row>
    <row r="14314" spans="1:2" x14ac:dyDescent="0.3">
      <c r="A14314" s="9" t="str">
        <f>HYPERLINK("http://www.eatonpowersource.com/products/configure/motors/details/167-0092-001","167-0092-001")</f>
        <v>167-0092-001</v>
      </c>
      <c r="B14314" s="10" t="s">
        <v>13879</v>
      </c>
    </row>
    <row r="14315" spans="1:2" x14ac:dyDescent="0.3">
      <c r="A14315" s="7" t="str">
        <f>HYPERLINK("http://www.eatonpowersource.com/products/configure/motors/details/167-0111-001","167-0111-001")</f>
        <v>167-0111-001</v>
      </c>
      <c r="B14315" s="8" t="s">
        <v>13880</v>
      </c>
    </row>
    <row r="14316" spans="1:2" x14ac:dyDescent="0.3">
      <c r="A14316" s="9" t="str">
        <f>HYPERLINK("http://www.eatonpowersource.com/products/configure/motors/details/167-0125-001","167-0125-001")</f>
        <v>167-0125-001</v>
      </c>
      <c r="B14316" s="10" t="s">
        <v>13881</v>
      </c>
    </row>
    <row r="14317" spans="1:2" x14ac:dyDescent="0.3">
      <c r="A14317" s="7" t="str">
        <f>HYPERLINK("http://www.eatonpowersource.com/products/configure/motors/details/167-0137-001","167-0137-001")</f>
        <v>167-0137-001</v>
      </c>
      <c r="B14317" s="8" t="s">
        <v>13882</v>
      </c>
    </row>
    <row r="14318" spans="1:2" x14ac:dyDescent="0.3">
      <c r="A14318" s="9" t="str">
        <f>HYPERLINK("http://www.eatonpowersource.com/products/configure/motors/details/169-0006-001","169-0006-001")</f>
        <v>169-0006-001</v>
      </c>
      <c r="B14318" s="10" t="s">
        <v>13883</v>
      </c>
    </row>
    <row r="14319" spans="1:2" x14ac:dyDescent="0.3">
      <c r="A14319" s="7" t="str">
        <f>HYPERLINK("http://www.eatonpowersource.com/products/configure/motors/details/169-0033-001","169-0033-001")</f>
        <v>169-0033-001</v>
      </c>
      <c r="B14319" s="8" t="s">
        <v>13884</v>
      </c>
    </row>
    <row r="14320" spans="1:2" x14ac:dyDescent="0.3">
      <c r="A14320" s="9" t="str">
        <f>HYPERLINK("http://www.eatonpowersource.com/products/configure/motors/details/169-0045-001","169-0045-001")</f>
        <v>169-0045-001</v>
      </c>
      <c r="B14320" s="10" t="s">
        <v>13885</v>
      </c>
    </row>
    <row r="14321" spans="1:2" x14ac:dyDescent="0.3">
      <c r="A14321" s="7" t="str">
        <f>HYPERLINK("http://www.eatonpowersource.com/products/configure/motors/details/169-0056-001","169-0056-001")</f>
        <v>169-0056-001</v>
      </c>
      <c r="B14321" s="8" t="s">
        <v>13886</v>
      </c>
    </row>
    <row r="14322" spans="1:2" x14ac:dyDescent="0.3">
      <c r="A14322" s="9" t="str">
        <f>HYPERLINK("http://www.eatonpowersource.com/products/configure/motors/details/169-0065-001","169-0065-001")</f>
        <v>169-0065-001</v>
      </c>
      <c r="B14322" s="10" t="s">
        <v>13887</v>
      </c>
    </row>
    <row r="14323" spans="1:2" x14ac:dyDescent="0.3">
      <c r="A14323" s="7" t="str">
        <f>HYPERLINK("http://www.eatonpowersource.com/products/configure/motors/details/169-0068-001","169-0068-001")</f>
        <v>169-0068-001</v>
      </c>
      <c r="B14323" s="8" t="s">
        <v>13888</v>
      </c>
    </row>
    <row r="14324" spans="1:2" x14ac:dyDescent="0.3">
      <c r="A14324" s="9" t="str">
        <f>HYPERLINK("http://www.eatonpowersource.com/products/configure/motors/details/169-0079-001","169-0079-001")</f>
        <v>169-0079-001</v>
      </c>
      <c r="B14324" s="10" t="s">
        <v>13889</v>
      </c>
    </row>
    <row r="14325" spans="1:2" x14ac:dyDescent="0.3">
      <c r="A14325" s="7" t="str">
        <f>HYPERLINK("http://www.eatonpowersource.com/products/configure/motors/details/169-0081-001","169-0081-001")</f>
        <v>169-0081-001</v>
      </c>
      <c r="B14325" s="8" t="s">
        <v>13890</v>
      </c>
    </row>
    <row r="14326" spans="1:2" x14ac:dyDescent="0.3">
      <c r="A14326" s="9" t="str">
        <f>HYPERLINK("http://www.eatonpowersource.com/products/configure/motors/details/169-0089-001","169-0089-001")</f>
        <v>169-0089-001</v>
      </c>
      <c r="B14326" s="10" t="s">
        <v>13891</v>
      </c>
    </row>
    <row r="14327" spans="1:2" x14ac:dyDescent="0.3">
      <c r="A14327" s="7" t="str">
        <f>HYPERLINK("http://www.eatonpowersource.com/products/configure/motors/details/169-0100-001","169-0100-001")</f>
        <v>169-0100-001</v>
      </c>
      <c r="B14327" s="8" t="s">
        <v>13892</v>
      </c>
    </row>
    <row r="14328" spans="1:2" x14ac:dyDescent="0.3">
      <c r="A14328" s="9" t="str">
        <f>HYPERLINK("http://www.eatonpowersource.com/products/configure/motors/details/169-0102-001","169-0102-001")</f>
        <v>169-0102-001</v>
      </c>
      <c r="B14328" s="10" t="s">
        <v>13893</v>
      </c>
    </row>
    <row r="14329" spans="1:2" x14ac:dyDescent="0.3">
      <c r="A14329" s="7" t="str">
        <f>HYPERLINK("http://www.eatonpowersource.com/products/configure/motors/details/169-0109-001","169-0109-001")</f>
        <v>169-0109-001</v>
      </c>
      <c r="B14329" s="8" t="s">
        <v>13894</v>
      </c>
    </row>
    <row r="14330" spans="1:2" x14ac:dyDescent="0.3">
      <c r="A14330" s="9" t="str">
        <f>HYPERLINK("http://www.eatonpowersource.com/products/configure/motors/details/169-0111-001","169-0111-001")</f>
        <v>169-0111-001</v>
      </c>
      <c r="B14330" s="10" t="s">
        <v>13895</v>
      </c>
    </row>
    <row r="14331" spans="1:2" x14ac:dyDescent="0.3">
      <c r="A14331" s="7" t="str">
        <f>HYPERLINK("http://www.eatonpowersource.com/products/configure/motors/details/169-0136-001","169-0136-001")</f>
        <v>169-0136-001</v>
      </c>
      <c r="B14331" s="8" t="s">
        <v>13896</v>
      </c>
    </row>
    <row r="14332" spans="1:2" x14ac:dyDescent="0.3">
      <c r="A14332" s="9" t="str">
        <f>HYPERLINK("http://www.eatonpowersource.com/products/configure/motors/details/169-0144-001","169-0144-001")</f>
        <v>169-0144-001</v>
      </c>
      <c r="B14332" s="10" t="s">
        <v>13897</v>
      </c>
    </row>
    <row r="14333" spans="1:2" x14ac:dyDescent="0.3">
      <c r="A14333" s="7" t="str">
        <f>HYPERLINK("http://www.eatonpowersource.com/products/configure/motors/details/169-0160-001","169-0160-001")</f>
        <v>169-0160-001</v>
      </c>
      <c r="B14333" s="8" t="s">
        <v>13898</v>
      </c>
    </row>
    <row r="14334" spans="1:2" x14ac:dyDescent="0.3">
      <c r="A14334" s="9" t="str">
        <f>HYPERLINK("http://www.eatonpowersource.com/products/configure/motors/details/169-0179-001","169-0179-001")</f>
        <v>169-0179-001</v>
      </c>
      <c r="B14334" s="10" t="s">
        <v>13899</v>
      </c>
    </row>
    <row r="14335" spans="1:2" x14ac:dyDescent="0.3">
      <c r="A14335" s="7" t="str">
        <f>HYPERLINK("http://www.eatonpowersource.com/products/configure/motors/details/169-0226-001","169-0226-001")</f>
        <v>169-0226-001</v>
      </c>
      <c r="B14335" s="8" t="s">
        <v>13900</v>
      </c>
    </row>
    <row r="14336" spans="1:2" x14ac:dyDescent="0.3">
      <c r="A14336" s="9" t="str">
        <f>HYPERLINK("http://www.eatonpowersource.com/products/configure/motors/details/169-0229-001","169-0229-001")</f>
        <v>169-0229-001</v>
      </c>
      <c r="B14336" s="10" t="s">
        <v>13901</v>
      </c>
    </row>
    <row r="14337" spans="1:2" x14ac:dyDescent="0.3">
      <c r="A14337" s="7" t="str">
        <f>HYPERLINK("http://www.eatonpowersource.com/products/configure/motors/details/169-0233-001","169-0233-001")</f>
        <v>169-0233-001</v>
      </c>
      <c r="B14337" s="8" t="s">
        <v>13902</v>
      </c>
    </row>
    <row r="14338" spans="1:2" x14ac:dyDescent="0.3">
      <c r="A14338" s="9" t="str">
        <f>HYPERLINK("http://www.eatonpowersource.com/products/configure/motors/details/170-0005-001","170-0005-001")</f>
        <v>170-0005-001</v>
      </c>
      <c r="B14338" s="10" t="s">
        <v>13903</v>
      </c>
    </row>
    <row r="14339" spans="1:2" x14ac:dyDescent="0.3">
      <c r="A14339" s="7" t="str">
        <f>HYPERLINK("http://www.eatonpowersource.com/products/configure/motors/details/175-0004-001","175-0004-001")</f>
        <v>175-0004-001</v>
      </c>
      <c r="B14339" s="8" t="s">
        <v>13904</v>
      </c>
    </row>
    <row r="14340" spans="1:2" x14ac:dyDescent="0.3">
      <c r="A14340" s="9" t="str">
        <f>HYPERLINK("http://www.eatonpowersource.com/products/configure/motors/details/202861-004","202861-004")</f>
        <v>202861-004</v>
      </c>
      <c r="B14340" s="10" t="s">
        <v>13905</v>
      </c>
    </row>
    <row r="14341" spans="1:2" x14ac:dyDescent="0.3">
      <c r="A14341" s="7" t="str">
        <f>HYPERLINK("http://www.eatonpowersource.com/products/configure/motors/details/202871-006","202871-006")</f>
        <v>202871-006</v>
      </c>
      <c r="B14341" s="8" t="s">
        <v>13906</v>
      </c>
    </row>
    <row r="14342" spans="1:2" x14ac:dyDescent="0.3">
      <c r="A14342" s="9" t="str">
        <f>HYPERLINK("http://www.eatonpowersource.com/products/configure/motors/details/155-0013-005","155-0013-005")</f>
        <v>155-0013-005</v>
      </c>
      <c r="B14342" s="10" t="s">
        <v>13907</v>
      </c>
    </row>
    <row r="14343" spans="1:2" x14ac:dyDescent="0.3">
      <c r="A14343" s="7" t="str">
        <f>HYPERLINK("http://www.eatonpowersource.com/products/configure/motors/details/155-0021-005","155-0021-005")</f>
        <v>155-0021-005</v>
      </c>
      <c r="B14343" s="8" t="s">
        <v>13908</v>
      </c>
    </row>
    <row r="14344" spans="1:2" x14ac:dyDescent="0.3">
      <c r="A14344" s="9" t="str">
        <f>HYPERLINK("http://www.eatonpowersource.com/products/configure/motors/details/155-0030-005","155-0030-005")</f>
        <v>155-0030-005</v>
      </c>
      <c r="B14344" s="10" t="s">
        <v>13909</v>
      </c>
    </row>
    <row r="14345" spans="1:2" x14ac:dyDescent="0.3">
      <c r="A14345" s="7" t="str">
        <f>HYPERLINK("http://www.eatonpowersource.com/products/configure/motors/details/155-0031-005","155-0031-005")</f>
        <v>155-0031-005</v>
      </c>
      <c r="B14345" s="8" t="s">
        <v>13910</v>
      </c>
    </row>
    <row r="14346" spans="1:2" x14ac:dyDescent="0.3">
      <c r="A14346" s="9" t="str">
        <f>HYPERLINK("http://www.eatonpowersource.com/products/configure/motors/details/155-0032-005","155-0032-005")</f>
        <v>155-0032-005</v>
      </c>
      <c r="B14346" s="10" t="s">
        <v>13911</v>
      </c>
    </row>
    <row r="14347" spans="1:2" x14ac:dyDescent="0.3">
      <c r="A14347" s="7" t="str">
        <f>HYPERLINK("http://www.eatonpowersource.com/products/configure/motors/details/155-0033-005","155-0033-005")</f>
        <v>155-0033-005</v>
      </c>
      <c r="B14347" s="8" t="s">
        <v>13912</v>
      </c>
    </row>
    <row r="14348" spans="1:2" x14ac:dyDescent="0.3">
      <c r="A14348" s="9" t="str">
        <f>HYPERLINK("http://www.eatonpowersource.com/products/configure/motors/details/155-0073-005","155-0073-005")</f>
        <v>155-0073-005</v>
      </c>
      <c r="B14348" s="10" t="s">
        <v>13913</v>
      </c>
    </row>
    <row r="14349" spans="1:2" x14ac:dyDescent="0.3">
      <c r="A14349" s="7" t="str">
        <f>HYPERLINK("http://www.eatonpowersource.com/products/configure/motors/details/155-0108-005","155-0108-005")</f>
        <v>155-0108-005</v>
      </c>
      <c r="B14349" s="8" t="s">
        <v>13914</v>
      </c>
    </row>
    <row r="14350" spans="1:2" x14ac:dyDescent="0.3">
      <c r="A14350" s="9" t="str">
        <f>HYPERLINK("http://www.eatonpowersource.com/products/configure/motors/details/155-0110-005","155-0110-005")</f>
        <v>155-0110-005</v>
      </c>
      <c r="B14350" s="10" t="s">
        <v>13915</v>
      </c>
    </row>
    <row r="14351" spans="1:2" x14ac:dyDescent="0.3">
      <c r="A14351" s="7" t="str">
        <f>HYPERLINK("http://www.eatonpowersource.com/products/configure/motors/details/155-0201-005","155-0201-005")</f>
        <v>155-0201-005</v>
      </c>
      <c r="B14351" s="8" t="s">
        <v>13916</v>
      </c>
    </row>
    <row r="14352" spans="1:2" x14ac:dyDescent="0.3">
      <c r="A14352" s="9" t="str">
        <f>HYPERLINK("http://www.eatonpowersource.com/products/configure/motors/details/155-0202-005","155-0202-005")</f>
        <v>155-0202-005</v>
      </c>
      <c r="B14352" s="10" t="s">
        <v>13917</v>
      </c>
    </row>
    <row r="14353" spans="1:2" x14ac:dyDescent="0.3">
      <c r="A14353" s="7" t="str">
        <f>HYPERLINK("http://www.eatonpowersource.com/products/configure/motors/details/155-0217-005","155-0217-005")</f>
        <v>155-0217-005</v>
      </c>
      <c r="B14353" s="8" t="s">
        <v>13918</v>
      </c>
    </row>
    <row r="14354" spans="1:2" x14ac:dyDescent="0.3">
      <c r="A14354" s="9" t="str">
        <f>HYPERLINK("http://www.eatonpowersource.com/products/configure/motors/details/155-0218-005","155-0218-005")</f>
        <v>155-0218-005</v>
      </c>
      <c r="B14354" s="10" t="s">
        <v>13919</v>
      </c>
    </row>
    <row r="14355" spans="1:2" x14ac:dyDescent="0.3">
      <c r="A14355" s="7" t="str">
        <f>HYPERLINK("http://www.eatonpowersource.com/products/configure/motors/details/156-0026-005","156-0026-005")</f>
        <v>156-0026-005</v>
      </c>
      <c r="B14355" s="8" t="s">
        <v>13920</v>
      </c>
    </row>
    <row r="14356" spans="1:2" x14ac:dyDescent="0.3">
      <c r="A14356" s="9" t="str">
        <f>HYPERLINK("http://www.eatonpowersource.com/products/configure/motors/details/157-0003-005","157-0003-005")</f>
        <v>157-0003-005</v>
      </c>
      <c r="B14356" s="10" t="s">
        <v>13921</v>
      </c>
    </row>
    <row r="14357" spans="1:2" x14ac:dyDescent="0.3">
      <c r="A14357" s="7" t="str">
        <f>HYPERLINK("http://www.eatonpowersource.com/products/configure/motors/details/157-0009-005","157-0009-005")</f>
        <v>157-0009-005</v>
      </c>
      <c r="B14357" s="8" t="s">
        <v>13922</v>
      </c>
    </row>
    <row r="14358" spans="1:2" x14ac:dyDescent="0.3">
      <c r="A14358" s="9" t="str">
        <f>HYPERLINK("http://www.eatonpowersource.com/products/configure/motors/details/157-0010-005","157-0010-005")</f>
        <v>157-0010-005</v>
      </c>
      <c r="B14358" s="10" t="s">
        <v>13923</v>
      </c>
    </row>
    <row r="14359" spans="1:2" x14ac:dyDescent="0.3">
      <c r="A14359" s="7" t="str">
        <f>HYPERLINK("http://www.eatonpowersource.com/products/configure/motors/details/157-0027-005","157-0027-005")</f>
        <v>157-0027-005</v>
      </c>
      <c r="B14359" s="8" t="s">
        <v>13924</v>
      </c>
    </row>
    <row r="14360" spans="1:2" x14ac:dyDescent="0.3">
      <c r="A14360" s="9" t="str">
        <f>HYPERLINK("http://www.eatonpowersource.com/products/configure/motors/details/157-0082-005","157-0082-005")</f>
        <v>157-0082-005</v>
      </c>
      <c r="B14360" s="10" t="s">
        <v>13925</v>
      </c>
    </row>
    <row r="14361" spans="1:2" x14ac:dyDescent="0.3">
      <c r="A14361" s="7" t="str">
        <f>HYPERLINK("http://www.eatonpowersource.com/products/configure/motors/details/168-0028-005","168-0028-005")</f>
        <v>168-0028-005</v>
      </c>
      <c r="B14361" s="8" t="s">
        <v>13926</v>
      </c>
    </row>
    <row r="14362" spans="1:2" x14ac:dyDescent="0.3">
      <c r="A14362" s="9" t="str">
        <f>HYPERLINK("http://www.eatonpowersource.com/products/configure/motors/details/168-0052-005","168-0052-005")</f>
        <v>168-0052-005</v>
      </c>
      <c r="B14362" s="10" t="s">
        <v>13927</v>
      </c>
    </row>
    <row r="14363" spans="1:2" x14ac:dyDescent="0.3">
      <c r="A14363" s="7" t="str">
        <f>HYPERLINK("http://www.eatonpowersource.com/products/configure/motors/details/168-0061-005","168-0061-005")</f>
        <v>168-0061-005</v>
      </c>
      <c r="B14363" s="8" t="s">
        <v>13928</v>
      </c>
    </row>
    <row r="14364" spans="1:2" x14ac:dyDescent="0.3">
      <c r="A14364" s="9" t="str">
        <f>HYPERLINK("http://www.eatonpowersource.com/products/configure/motors/details/173-0023-002","173-0023-002")</f>
        <v>173-0023-002</v>
      </c>
      <c r="B14364" s="10" t="s">
        <v>13929</v>
      </c>
    </row>
    <row r="14365" spans="1:2" x14ac:dyDescent="0.3">
      <c r="A14365" s="7" t="str">
        <f>HYPERLINK("http://www.eatonpowersource.com/products/configure/motors/details/173-0024-002","173-0024-002")</f>
        <v>173-0024-002</v>
      </c>
      <c r="B14365" s="8" t="s">
        <v>13930</v>
      </c>
    </row>
    <row r="14366" spans="1:2" x14ac:dyDescent="0.3">
      <c r="A14366" s="9" t="str">
        <f>HYPERLINK("http://www.eatonpowersource.com/products/configure/motors/details/177-0021-005","177-0021-005")</f>
        <v>177-0021-005</v>
      </c>
      <c r="B14366" s="10" t="s">
        <v>13931</v>
      </c>
    </row>
    <row r="14367" spans="1:2" x14ac:dyDescent="0.3">
      <c r="A14367" s="7" t="str">
        <f>HYPERLINK("http://www.eatonpowersource.com/products/configure/motors/details/177-0024-005","177-0024-005")</f>
        <v>177-0024-005</v>
      </c>
      <c r="B14367" s="8" t="s">
        <v>13932</v>
      </c>
    </row>
    <row r="14368" spans="1:2" x14ac:dyDescent="0.3">
      <c r="A14368" s="9" t="str">
        <f>HYPERLINK("http://www.eatonpowersource.com/products/configure/motors/details/177-0026-005","177-0026-005")</f>
        <v>177-0026-005</v>
      </c>
      <c r="B14368" s="10" t="s">
        <v>13933</v>
      </c>
    </row>
    <row r="14369" spans="1:2" x14ac:dyDescent="0.3">
      <c r="A14369" s="7" t="str">
        <f>HYPERLINK("http://www.eatonpowersource.com/products/configure/motors/details/177-0029-005","177-0029-005")</f>
        <v>177-0029-005</v>
      </c>
      <c r="B14369" s="8" t="s">
        <v>13934</v>
      </c>
    </row>
    <row r="14370" spans="1:2" x14ac:dyDescent="0.3">
      <c r="A14370" s="9" t="str">
        <f>HYPERLINK("http://www.eatonpowersource.com/products/configure/motors/details/177-0031-005","177-0031-005")</f>
        <v>177-0031-005</v>
      </c>
      <c r="B14370" s="10" t="s">
        <v>13935</v>
      </c>
    </row>
    <row r="14371" spans="1:2" x14ac:dyDescent="0.3">
      <c r="A14371" s="7" t="str">
        <f>HYPERLINK("http://www.eatonpowersource.com/products/configure/motors/details/177-0033-005","177-0033-005")</f>
        <v>177-0033-005</v>
      </c>
      <c r="B14371" s="8" t="s">
        <v>13936</v>
      </c>
    </row>
    <row r="14372" spans="1:2" x14ac:dyDescent="0.3">
      <c r="A14372" s="9" t="str">
        <f>HYPERLINK("http://www.eatonpowersource.com/products/configure/motors/details/177-0035-005","177-0035-005")</f>
        <v>177-0035-005</v>
      </c>
      <c r="B14372" s="10" t="s">
        <v>13937</v>
      </c>
    </row>
    <row r="14373" spans="1:2" x14ac:dyDescent="0.3">
      <c r="A14373" s="7" t="str">
        <f>HYPERLINK("http://www.eatonpowersource.com/products/configure/motors/details/177-0037-005","177-0037-005")</f>
        <v>177-0037-005</v>
      </c>
      <c r="B14373" s="8" t="s">
        <v>13938</v>
      </c>
    </row>
    <row r="14374" spans="1:2" x14ac:dyDescent="0.3">
      <c r="A14374" s="9" t="str">
        <f>HYPERLINK("http://www.eatonpowersource.com/products/configure/motors/details/177-0058-005","177-0058-005")</f>
        <v>177-0058-005</v>
      </c>
      <c r="B14374" s="10" t="s">
        <v>13939</v>
      </c>
    </row>
    <row r="14375" spans="1:2" x14ac:dyDescent="0.3">
      <c r="A14375" s="7" t="str">
        <f>HYPERLINK("http://www.eatonpowersource.com/products/configure/motors/details/177-0066-005","177-0066-005")</f>
        <v>177-0066-005</v>
      </c>
      <c r="B14375" s="8" t="s">
        <v>13940</v>
      </c>
    </row>
    <row r="14376" spans="1:2" x14ac:dyDescent="0.3">
      <c r="A14376" s="9" t="str">
        <f>HYPERLINK("http://www.eatonpowersource.com/products/configure/motors/details/177-0067-005","177-0067-005")</f>
        <v>177-0067-005</v>
      </c>
      <c r="B14376" s="10" t="s">
        <v>13941</v>
      </c>
    </row>
    <row r="14377" spans="1:2" x14ac:dyDescent="0.3">
      <c r="A14377" s="7" t="str">
        <f>HYPERLINK("http://www.eatonpowersource.com/products/configure/motors/details/177-0084-005","177-0084-005")</f>
        <v>177-0084-005</v>
      </c>
      <c r="B14377" s="8" t="s">
        <v>13942</v>
      </c>
    </row>
    <row r="14378" spans="1:2" x14ac:dyDescent="0.3">
      <c r="A14378" s="9" t="str">
        <f>HYPERLINK("http://www.eatonpowersource.com/products/configure/motors/details/177-0085-005","177-0085-005")</f>
        <v>177-0085-005</v>
      </c>
      <c r="B14378" s="10" t="s">
        <v>13943</v>
      </c>
    </row>
    <row r="14379" spans="1:2" x14ac:dyDescent="0.3">
      <c r="A14379" s="7" t="str">
        <f>HYPERLINK("http://www.eatonpowersource.com/products/configure/motors/details/177-0086-005","177-0086-005")</f>
        <v>177-0086-005</v>
      </c>
      <c r="B14379" s="8" t="s">
        <v>13944</v>
      </c>
    </row>
    <row r="14380" spans="1:2" x14ac:dyDescent="0.3">
      <c r="A14380" s="9" t="str">
        <f>HYPERLINK("http://www.eatonpowersource.com/products/configure/motors/details/177-0088-005","177-0088-005")</f>
        <v>177-0088-005</v>
      </c>
      <c r="B14380" s="10" t="s">
        <v>13945</v>
      </c>
    </row>
    <row r="14381" spans="1:2" x14ac:dyDescent="0.3">
      <c r="A14381" s="7" t="str">
        <f>HYPERLINK("http://www.eatonpowersource.com/products/configure/motors/details/177-0089-005","177-0089-005")</f>
        <v>177-0089-005</v>
      </c>
      <c r="B14381" s="8" t="s">
        <v>13946</v>
      </c>
    </row>
    <row r="14382" spans="1:2" x14ac:dyDescent="0.3">
      <c r="A14382" s="9" t="str">
        <f>HYPERLINK("http://www.eatonpowersource.com/products/configure/motors/details/177-0095-005","177-0095-005")</f>
        <v>177-0095-005</v>
      </c>
      <c r="B14382" s="10" t="s">
        <v>13947</v>
      </c>
    </row>
    <row r="14383" spans="1:2" x14ac:dyDescent="0.3">
      <c r="A14383" s="7" t="str">
        <f>HYPERLINK("http://www.eatonpowersource.com/products/configure/motors/details/177-0118-005","177-0118-005")</f>
        <v>177-0118-005</v>
      </c>
      <c r="B14383" s="8" t="s">
        <v>13948</v>
      </c>
    </row>
    <row r="14384" spans="1:2" x14ac:dyDescent="0.3">
      <c r="A14384" s="9" t="str">
        <f>HYPERLINK("http://www.eatonpowersource.com/products/configure/motors/details/177-0119-005","177-0119-005")</f>
        <v>177-0119-005</v>
      </c>
      <c r="B14384" s="10" t="s">
        <v>13949</v>
      </c>
    </row>
    <row r="14385" spans="1:2" x14ac:dyDescent="0.3">
      <c r="A14385" s="7" t="str">
        <f>HYPERLINK("http://www.eatonpowersource.com/products/configure/motors/details/177-0121-005","177-0121-005")</f>
        <v>177-0121-005</v>
      </c>
      <c r="B14385" s="8" t="s">
        <v>13950</v>
      </c>
    </row>
    <row r="14386" spans="1:2" x14ac:dyDescent="0.3">
      <c r="A14386" s="9" t="str">
        <f>HYPERLINK("http://www.eatonpowersource.com/products/configure/motors/details/177-0123-005","177-0123-005")</f>
        <v>177-0123-005</v>
      </c>
      <c r="B14386" s="10" t="s">
        <v>13951</v>
      </c>
    </row>
    <row r="14387" spans="1:2" x14ac:dyDescent="0.3">
      <c r="A14387" s="7" t="str">
        <f>HYPERLINK("http://www.eatonpowersource.com/products/configure/motors/details/177-0126-005","177-0126-005")</f>
        <v>177-0126-005</v>
      </c>
      <c r="B14387" s="8" t="s">
        <v>13952</v>
      </c>
    </row>
    <row r="14388" spans="1:2" x14ac:dyDescent="0.3">
      <c r="A14388" s="9" t="str">
        <f>HYPERLINK("http://www.eatonpowersource.com/products/configure/motors/details/177-0142-005","177-0142-005")</f>
        <v>177-0142-005</v>
      </c>
      <c r="B14388" s="10" t="s">
        <v>13953</v>
      </c>
    </row>
    <row r="14389" spans="1:2" x14ac:dyDescent="0.3">
      <c r="A14389" s="7" t="str">
        <f>HYPERLINK("http://www.eatonpowersource.com/products/configure/motors/details/177-0151-005","177-0151-005")</f>
        <v>177-0151-005</v>
      </c>
      <c r="B14389" s="8" t="s">
        <v>13954</v>
      </c>
    </row>
    <row r="14390" spans="1:2" x14ac:dyDescent="0.3">
      <c r="A14390" s="9" t="str">
        <f>HYPERLINK("http://www.eatonpowersource.com/products/configure/motors/details/177-0165-005","177-0165-005")</f>
        <v>177-0165-005</v>
      </c>
      <c r="B14390" s="10" t="s">
        <v>13955</v>
      </c>
    </row>
    <row r="14391" spans="1:2" x14ac:dyDescent="0.3">
      <c r="A14391" s="7" t="str">
        <f>HYPERLINK("http://www.eatonpowersource.com/products/configure/motors/details/177-0166-005","177-0166-005")</f>
        <v>177-0166-005</v>
      </c>
      <c r="B14391" s="8" t="s">
        <v>13956</v>
      </c>
    </row>
    <row r="14392" spans="1:2" x14ac:dyDescent="0.3">
      <c r="A14392" s="9" t="str">
        <f>HYPERLINK("http://www.eatonpowersource.com/products/configure/motors/details/177-0167-005","177-0167-005")</f>
        <v>177-0167-005</v>
      </c>
      <c r="B14392" s="10" t="s">
        <v>13957</v>
      </c>
    </row>
    <row r="14393" spans="1:2" x14ac:dyDescent="0.3">
      <c r="A14393" s="7" t="str">
        <f>HYPERLINK("http://www.eatonpowersource.com/products/configure/motors/details/177-0168-005","177-0168-005")</f>
        <v>177-0168-005</v>
      </c>
      <c r="B14393" s="8" t="s">
        <v>13958</v>
      </c>
    </row>
    <row r="14394" spans="1:2" x14ac:dyDescent="0.3">
      <c r="A14394" s="9" t="str">
        <f>HYPERLINK("http://www.eatonpowersource.com/products/configure/motors/details/177-0171-005","177-0171-005")</f>
        <v>177-0171-005</v>
      </c>
      <c r="B14394" s="10" t="s">
        <v>13959</v>
      </c>
    </row>
    <row r="14395" spans="1:2" x14ac:dyDescent="0.3">
      <c r="A14395" s="7" t="str">
        <f>HYPERLINK("http://www.eatonpowersource.com/products/configure/motors/details/177-0173-005","177-0173-005")</f>
        <v>177-0173-005</v>
      </c>
      <c r="B14395" s="8" t="s">
        <v>13960</v>
      </c>
    </row>
    <row r="14396" spans="1:2" x14ac:dyDescent="0.3">
      <c r="A14396" s="9" t="str">
        <f>HYPERLINK("http://www.eatonpowersource.com/products/configure/motors/details/177-0198-005","177-0198-005")</f>
        <v>177-0198-005</v>
      </c>
      <c r="B14396" s="10" t="s">
        <v>13961</v>
      </c>
    </row>
    <row r="14397" spans="1:2" x14ac:dyDescent="0.3">
      <c r="A14397" s="7" t="str">
        <f>HYPERLINK("http://www.eatonpowersource.com/products/configure/motors/details/177-0200-005","177-0200-005")</f>
        <v>177-0200-005</v>
      </c>
      <c r="B14397" s="8" t="s">
        <v>13962</v>
      </c>
    </row>
    <row r="14398" spans="1:2" x14ac:dyDescent="0.3">
      <c r="A14398" s="9" t="str">
        <f>HYPERLINK("http://www.eatonpowersource.com/products/configure/motors/details/177-0203-005","177-0203-005")</f>
        <v>177-0203-005</v>
      </c>
      <c r="B14398" s="10" t="s">
        <v>13963</v>
      </c>
    </row>
    <row r="14399" spans="1:2" x14ac:dyDescent="0.3">
      <c r="A14399" s="7" t="str">
        <f>HYPERLINK("http://www.eatonpowersource.com/products/configure/motors/details/177-0210-005","177-0210-005")</f>
        <v>177-0210-005</v>
      </c>
      <c r="B14399" s="8" t="s">
        <v>13964</v>
      </c>
    </row>
    <row r="14400" spans="1:2" x14ac:dyDescent="0.3">
      <c r="A14400" s="9" t="str">
        <f>HYPERLINK("http://www.eatonpowersource.com/products/configure/motors/details/177-0211-005","177-0211-005")</f>
        <v>177-0211-005</v>
      </c>
      <c r="B14400" s="10" t="s">
        <v>13965</v>
      </c>
    </row>
    <row r="14401" spans="1:2" x14ac:dyDescent="0.3">
      <c r="A14401" s="7" t="str">
        <f>HYPERLINK("http://www.eatonpowersource.com/products/configure/motors/details/177-0214-005","177-0214-005")</f>
        <v>177-0214-005</v>
      </c>
      <c r="B14401" s="8" t="s">
        <v>13966</v>
      </c>
    </row>
    <row r="14402" spans="1:2" x14ac:dyDescent="0.3">
      <c r="A14402" s="9" t="str">
        <f>HYPERLINK("http://www.eatonpowersource.com/products/configure/motors/details/177-0216-005","177-0216-005")</f>
        <v>177-0216-005</v>
      </c>
      <c r="B14402" s="10" t="s">
        <v>13967</v>
      </c>
    </row>
    <row r="14403" spans="1:2" x14ac:dyDescent="0.3">
      <c r="A14403" s="7" t="str">
        <f>HYPERLINK("http://www.eatonpowersource.com/products/configure/motors/details/177-0224-005","177-0224-005")</f>
        <v>177-0224-005</v>
      </c>
      <c r="B14403" s="8" t="s">
        <v>13968</v>
      </c>
    </row>
    <row r="14404" spans="1:2" x14ac:dyDescent="0.3">
      <c r="A14404" s="9" t="str">
        <f>HYPERLINK("http://www.eatonpowersource.com/products/configure/motors/details/177-0236-005","177-0236-005")</f>
        <v>177-0236-005</v>
      </c>
      <c r="B14404" s="10" t="s">
        <v>13969</v>
      </c>
    </row>
    <row r="14405" spans="1:2" x14ac:dyDescent="0.3">
      <c r="A14405" s="7" t="str">
        <f>HYPERLINK("http://www.eatonpowersource.com/products/configure/motors/details/177-0258-005","177-0258-005")</f>
        <v>177-0258-005</v>
      </c>
      <c r="B14405" s="8" t="s">
        <v>13970</v>
      </c>
    </row>
    <row r="14406" spans="1:2" x14ac:dyDescent="0.3">
      <c r="A14406" s="9" t="str">
        <f>HYPERLINK("http://www.eatonpowersource.com/products/configure/motors/details/177-0263-005","177-0263-005")</f>
        <v>177-0263-005</v>
      </c>
      <c r="B14406" s="10" t="s">
        <v>13971</v>
      </c>
    </row>
    <row r="14407" spans="1:2" x14ac:dyDescent="0.3">
      <c r="A14407" s="7" t="str">
        <f>HYPERLINK("http://www.eatonpowersource.com/products/configure/motors/details/177-0280-005","177-0280-005")</f>
        <v>177-0280-005</v>
      </c>
      <c r="B14407" s="8" t="s">
        <v>13972</v>
      </c>
    </row>
    <row r="14408" spans="1:2" x14ac:dyDescent="0.3">
      <c r="A14408" s="9" t="str">
        <f>HYPERLINK("http://www.eatonpowersource.com/products/configure/motors/details/177-0300-005","177-0300-005")</f>
        <v>177-0300-005</v>
      </c>
      <c r="B14408" s="10" t="s">
        <v>13973</v>
      </c>
    </row>
    <row r="14409" spans="1:2" x14ac:dyDescent="0.3">
      <c r="A14409" s="7" t="str">
        <f>HYPERLINK("http://www.eatonpowersource.com/products/configure/motors/details/177-0303-005","177-0303-005")</f>
        <v>177-0303-005</v>
      </c>
      <c r="B14409" s="8" t="s">
        <v>13974</v>
      </c>
    </row>
    <row r="14410" spans="1:2" x14ac:dyDescent="0.3">
      <c r="A14410" s="9" t="str">
        <f>HYPERLINK("http://www.eatonpowersource.com/products/configure/motors/details/178-0027-004","178-0027-004")</f>
        <v>178-0027-004</v>
      </c>
      <c r="B14410" s="10" t="s">
        <v>13975</v>
      </c>
    </row>
    <row r="14411" spans="1:2" x14ac:dyDescent="0.3">
      <c r="A14411" s="7" t="str">
        <f>HYPERLINK("http://www.eatonpowersource.com/products/configure/motors/details/178-0029-004","178-0029-004")</f>
        <v>178-0029-004</v>
      </c>
      <c r="B14411" s="8" t="s">
        <v>13976</v>
      </c>
    </row>
    <row r="14412" spans="1:2" x14ac:dyDescent="0.3">
      <c r="A14412" s="9" t="str">
        <f>HYPERLINK("http://www.eatonpowersource.com/products/configure/motors/details/178-0030-004","178-0030-004")</f>
        <v>178-0030-004</v>
      </c>
      <c r="B14412" s="10" t="s">
        <v>13977</v>
      </c>
    </row>
    <row r="14413" spans="1:2" x14ac:dyDescent="0.3">
      <c r="A14413" s="7" t="str">
        <f>HYPERLINK("http://www.eatonpowersource.com/products/configure/motors/details/178-0031-004","178-0031-004")</f>
        <v>178-0031-004</v>
      </c>
      <c r="B14413" s="8" t="s">
        <v>13978</v>
      </c>
    </row>
    <row r="14414" spans="1:2" x14ac:dyDescent="0.3">
      <c r="A14414" s="9" t="str">
        <f>HYPERLINK("http://www.eatonpowersource.com/products/configure/motors/details/178-0099-004","178-0099-004")</f>
        <v>178-0099-004</v>
      </c>
      <c r="B14414" s="10" t="s">
        <v>13979</v>
      </c>
    </row>
    <row r="14415" spans="1:2" x14ac:dyDescent="0.3">
      <c r="A14415" s="7" t="str">
        <f>HYPERLINK("http://www.eatonpowersource.com/products/configure/motors/details/178-0108-004","178-0108-004")</f>
        <v>178-0108-004</v>
      </c>
      <c r="B14415" s="8" t="s">
        <v>13980</v>
      </c>
    </row>
    <row r="14416" spans="1:2" x14ac:dyDescent="0.3">
      <c r="A14416" s="9" t="str">
        <f>HYPERLINK("http://www.eatonpowersource.com/products/configure/motors/details/178-0109-004","178-0109-004")</f>
        <v>178-0109-004</v>
      </c>
      <c r="B14416" s="10" t="s">
        <v>13981</v>
      </c>
    </row>
    <row r="14417" spans="1:2" x14ac:dyDescent="0.3">
      <c r="A14417" s="7" t="str">
        <f>HYPERLINK("http://www.eatonpowersource.com/products/configure/motors/details/178-0114-004","178-0114-004")</f>
        <v>178-0114-004</v>
      </c>
      <c r="B14417" s="8" t="s">
        <v>13975</v>
      </c>
    </row>
    <row r="14418" spans="1:2" x14ac:dyDescent="0.3">
      <c r="A14418" s="9" t="str">
        <f>HYPERLINK("http://www.eatonpowersource.com/products/configure/motors/details/178-0129-004","178-0129-004")</f>
        <v>178-0129-004</v>
      </c>
      <c r="B14418" s="10" t="s">
        <v>13982</v>
      </c>
    </row>
    <row r="14419" spans="1:2" x14ac:dyDescent="0.3">
      <c r="A14419" s="7" t="str">
        <f>HYPERLINK("http://www.eatonpowersource.com/products/configure/motors/details/182-0039-004","182-0039-004")</f>
        <v>182-0039-004</v>
      </c>
      <c r="B14419" s="8" t="s">
        <v>13983</v>
      </c>
    </row>
    <row r="14420" spans="1:2" x14ac:dyDescent="0.3">
      <c r="A14420" s="9" t="str">
        <f>HYPERLINK("http://www.eatonpowersource.com/products/configure/motors/details/184-0001-002","184-0001-002")</f>
        <v>184-0001-002</v>
      </c>
      <c r="B14420" s="10" t="s">
        <v>13984</v>
      </c>
    </row>
    <row r="14421" spans="1:2" x14ac:dyDescent="0.3">
      <c r="A14421" s="7" t="str">
        <f>HYPERLINK("http://www.eatonpowersource.com/products/configure/motors/details/184-0002-002","184-0002-002")</f>
        <v>184-0002-002</v>
      </c>
      <c r="B14421" s="8" t="s">
        <v>13985</v>
      </c>
    </row>
    <row r="14422" spans="1:2" x14ac:dyDescent="0.3">
      <c r="A14422" s="9" t="str">
        <f>HYPERLINK("http://www.eatonpowersource.com/products/configure/motors/details/184-0004-002","184-0004-002")</f>
        <v>184-0004-002</v>
      </c>
      <c r="B14422" s="10" t="s">
        <v>13986</v>
      </c>
    </row>
    <row r="14423" spans="1:2" x14ac:dyDescent="0.3">
      <c r="A14423" s="7" t="str">
        <f>HYPERLINK("http://www.eatonpowersource.com/products/configure/motors/details/184-0005-002","184-0005-002")</f>
        <v>184-0005-002</v>
      </c>
      <c r="B14423" s="8" t="s">
        <v>13987</v>
      </c>
    </row>
    <row r="14424" spans="1:2" x14ac:dyDescent="0.3">
      <c r="A14424" s="9" t="str">
        <f>HYPERLINK("http://www.eatonpowersource.com/products/configure/motors/details/184-0006-002","184-0006-002")</f>
        <v>184-0006-002</v>
      </c>
      <c r="B14424" s="10" t="s">
        <v>13988</v>
      </c>
    </row>
    <row r="14425" spans="1:2" x14ac:dyDescent="0.3">
      <c r="A14425" s="7" t="str">
        <f>HYPERLINK("http://www.eatonpowersource.com/products/configure/motors/details/184-0007-002","184-0007-002")</f>
        <v>184-0007-002</v>
      </c>
      <c r="B14425" s="8" t="s">
        <v>13989</v>
      </c>
    </row>
    <row r="14426" spans="1:2" x14ac:dyDescent="0.3">
      <c r="A14426" s="9" t="str">
        <f>HYPERLINK("http://www.eatonpowersource.com/products/configure/motors/details/184-0009-002","184-0009-002")</f>
        <v>184-0009-002</v>
      </c>
      <c r="B14426" s="10" t="s">
        <v>13990</v>
      </c>
    </row>
    <row r="14427" spans="1:2" x14ac:dyDescent="0.3">
      <c r="A14427" s="7" t="str">
        <f>HYPERLINK("http://www.eatonpowersource.com/products/configure/motors/details/184-0025-002","184-0025-002")</f>
        <v>184-0025-002</v>
      </c>
      <c r="B14427" s="8" t="s">
        <v>13991</v>
      </c>
    </row>
    <row r="14428" spans="1:2" x14ac:dyDescent="0.3">
      <c r="A14428" s="9" t="str">
        <f>HYPERLINK("http://www.eatonpowersource.com/products/configure/motors/details/184-0026-002","184-0026-002")</f>
        <v>184-0026-002</v>
      </c>
      <c r="B14428" s="10" t="s">
        <v>13992</v>
      </c>
    </row>
    <row r="14429" spans="1:2" x14ac:dyDescent="0.3">
      <c r="A14429" s="7" t="str">
        <f>HYPERLINK("http://www.eatonpowersource.com/products/configure/motors/details/184-0027-002","184-0027-002")</f>
        <v>184-0027-002</v>
      </c>
      <c r="B14429" s="8" t="s">
        <v>13993</v>
      </c>
    </row>
    <row r="14430" spans="1:2" x14ac:dyDescent="0.3">
      <c r="A14430" s="9" t="str">
        <f>HYPERLINK("http://www.eatonpowersource.com/products/configure/motors/details/184-0030-002","184-0030-002")</f>
        <v>184-0030-002</v>
      </c>
      <c r="B14430" s="10" t="s">
        <v>13994</v>
      </c>
    </row>
    <row r="14431" spans="1:2" x14ac:dyDescent="0.3">
      <c r="A14431" s="7" t="str">
        <f>HYPERLINK("http://www.eatonpowersource.com/products/configure/motors/details/184-0055-002","184-0055-002")</f>
        <v>184-0055-002</v>
      </c>
      <c r="B14431" s="8" t="s">
        <v>13995</v>
      </c>
    </row>
    <row r="14432" spans="1:2" x14ac:dyDescent="0.3">
      <c r="A14432" s="9" t="str">
        <f>HYPERLINK("http://www.eatonpowersource.com/products/configure/motors/details/184-0057-002","184-0057-002")</f>
        <v>184-0057-002</v>
      </c>
      <c r="B14432" s="10" t="s">
        <v>13996</v>
      </c>
    </row>
    <row r="14433" spans="1:2" x14ac:dyDescent="0.3">
      <c r="A14433" s="7" t="str">
        <f>HYPERLINK("http://www.eatonpowersource.com/products/configure/motors/details/184-0066-002","184-0066-002")</f>
        <v>184-0066-002</v>
      </c>
      <c r="B14433" s="8" t="s">
        <v>13997</v>
      </c>
    </row>
    <row r="14434" spans="1:2" x14ac:dyDescent="0.3">
      <c r="A14434" s="9" t="str">
        <f>HYPERLINK("http://www.eatonpowersource.com/products/configure/motors/details/184-0082-002","184-0082-002")</f>
        <v>184-0082-002</v>
      </c>
      <c r="B14434" s="10" t="s">
        <v>13998</v>
      </c>
    </row>
    <row r="14435" spans="1:2" x14ac:dyDescent="0.3">
      <c r="A14435" s="7" t="str">
        <f>HYPERLINK("http://www.eatonpowersource.com/products/configure/motors/details/184-0083-002","184-0083-002")</f>
        <v>184-0083-002</v>
      </c>
      <c r="B14435" s="8" t="s">
        <v>13999</v>
      </c>
    </row>
    <row r="14436" spans="1:2" x14ac:dyDescent="0.3">
      <c r="A14436" s="9" t="str">
        <f>HYPERLINK("http://www.eatonpowersource.com/products/configure/motors/details/184-0086-002","184-0086-002")</f>
        <v>184-0086-002</v>
      </c>
      <c r="B14436" s="10" t="s">
        <v>14000</v>
      </c>
    </row>
    <row r="14437" spans="1:2" x14ac:dyDescent="0.3">
      <c r="A14437" s="7" t="str">
        <f>HYPERLINK("http://www.eatonpowersource.com/products/configure/motors/details/184-0087-002","184-0087-002")</f>
        <v>184-0087-002</v>
      </c>
      <c r="B14437" s="8" t="s">
        <v>14001</v>
      </c>
    </row>
    <row r="14438" spans="1:2" x14ac:dyDescent="0.3">
      <c r="A14438" s="9" t="str">
        <f>HYPERLINK("http://www.eatonpowersource.com/products/configure/motors/details/184-0097-002","184-0097-002")</f>
        <v>184-0097-002</v>
      </c>
      <c r="B14438" s="10" t="s">
        <v>14002</v>
      </c>
    </row>
    <row r="14439" spans="1:2" x14ac:dyDescent="0.3">
      <c r="A14439" s="7" t="str">
        <f>HYPERLINK("http://www.eatonpowersource.com/products/configure/motors/details/184-0098-002","184-0098-002")</f>
        <v>184-0098-002</v>
      </c>
      <c r="B14439" s="8" t="s">
        <v>14003</v>
      </c>
    </row>
    <row r="14440" spans="1:2" x14ac:dyDescent="0.3">
      <c r="A14440" s="9" t="str">
        <f>HYPERLINK("http://www.eatonpowersource.com/products/configure/motors/details/184-0126-002","184-0126-002")</f>
        <v>184-0126-002</v>
      </c>
      <c r="B14440" s="10" t="s">
        <v>14004</v>
      </c>
    </row>
    <row r="14441" spans="1:2" x14ac:dyDescent="0.3">
      <c r="A14441" s="7" t="str">
        <f>HYPERLINK("http://www.eatonpowersource.com/products/configure/motors/details/184-0127-002","184-0127-002")</f>
        <v>184-0127-002</v>
      </c>
      <c r="B14441" s="8" t="s">
        <v>14005</v>
      </c>
    </row>
    <row r="14442" spans="1:2" x14ac:dyDescent="0.3">
      <c r="A14442" s="9" t="str">
        <f>HYPERLINK("http://www.eatonpowersource.com/products/configure/motors/details/184-0128-002","184-0128-002")</f>
        <v>184-0128-002</v>
      </c>
      <c r="B14442" s="10" t="s">
        <v>14006</v>
      </c>
    </row>
    <row r="14443" spans="1:2" x14ac:dyDescent="0.3">
      <c r="A14443" s="7" t="str">
        <f>HYPERLINK("http://www.eatonpowersource.com/products/configure/motors/details/184-0130-002","184-0130-002")</f>
        <v>184-0130-002</v>
      </c>
      <c r="B14443" s="8" t="s">
        <v>14007</v>
      </c>
    </row>
    <row r="14444" spans="1:2" x14ac:dyDescent="0.3">
      <c r="A14444" s="9" t="str">
        <f>HYPERLINK("http://www.eatonpowersource.com/products/configure/motors/details/184-0131-002","184-0131-002")</f>
        <v>184-0131-002</v>
      </c>
      <c r="B14444" s="10" t="s">
        <v>14008</v>
      </c>
    </row>
    <row r="14445" spans="1:2" x14ac:dyDescent="0.3">
      <c r="A14445" s="7" t="str">
        <f>HYPERLINK("http://www.eatonpowersource.com/products/configure/motors/details/184-0137-002","184-0137-002")</f>
        <v>184-0137-002</v>
      </c>
      <c r="B14445" s="8" t="s">
        <v>14009</v>
      </c>
    </row>
    <row r="14446" spans="1:2" x14ac:dyDescent="0.3">
      <c r="A14446" s="9" t="str">
        <f>HYPERLINK("http://www.eatonpowersource.com/products/configure/motors/details/184-0138-002","184-0138-002")</f>
        <v>184-0138-002</v>
      </c>
      <c r="B14446" s="10" t="s">
        <v>14010</v>
      </c>
    </row>
    <row r="14447" spans="1:2" x14ac:dyDescent="0.3">
      <c r="A14447" s="7" t="str">
        <f>HYPERLINK("http://www.eatonpowersource.com/products/configure/motors/details/184-0143-002","184-0143-002")</f>
        <v>184-0143-002</v>
      </c>
      <c r="B14447" s="8" t="s">
        <v>14011</v>
      </c>
    </row>
    <row r="14448" spans="1:2" x14ac:dyDescent="0.3">
      <c r="A14448" s="9" t="str">
        <f>HYPERLINK("http://www.eatonpowersource.com/products/configure/motors/details/184-0144-002","184-0144-002")</f>
        <v>184-0144-002</v>
      </c>
      <c r="B14448" s="10" t="s">
        <v>14012</v>
      </c>
    </row>
    <row r="14449" spans="1:2" x14ac:dyDescent="0.3">
      <c r="A14449" s="7" t="str">
        <f>HYPERLINK("http://www.eatonpowersource.com/products/configure/motors/details/184-0146-002","184-0146-002")</f>
        <v>184-0146-002</v>
      </c>
      <c r="B14449" s="8" t="s">
        <v>14013</v>
      </c>
    </row>
    <row r="14450" spans="1:2" x14ac:dyDescent="0.3">
      <c r="A14450" s="9" t="str">
        <f>HYPERLINK("http://www.eatonpowersource.com/products/configure/motors/details/184-0147-002","184-0147-002")</f>
        <v>184-0147-002</v>
      </c>
      <c r="B14450" s="10" t="s">
        <v>14014</v>
      </c>
    </row>
    <row r="14451" spans="1:2" x14ac:dyDescent="0.3">
      <c r="A14451" s="7" t="str">
        <f>HYPERLINK("http://www.eatonpowersource.com/products/configure/motors/details/184-0148-002","184-0148-002")</f>
        <v>184-0148-002</v>
      </c>
      <c r="B14451" s="8" t="s">
        <v>14015</v>
      </c>
    </row>
    <row r="14452" spans="1:2" x14ac:dyDescent="0.3">
      <c r="A14452" s="9" t="str">
        <f>HYPERLINK("http://www.eatonpowersource.com/products/configure/motors/details/184-0149-002","184-0149-002")</f>
        <v>184-0149-002</v>
      </c>
      <c r="B14452" s="10" t="s">
        <v>14016</v>
      </c>
    </row>
    <row r="14453" spans="1:2" x14ac:dyDescent="0.3">
      <c r="A14453" s="7" t="str">
        <f>HYPERLINK("http://www.eatonpowersource.com/products/configure/motors/details/184-0152-002","184-0152-002")</f>
        <v>184-0152-002</v>
      </c>
      <c r="B14453" s="8" t="s">
        <v>14017</v>
      </c>
    </row>
    <row r="14454" spans="1:2" x14ac:dyDescent="0.3">
      <c r="A14454" s="9" t="str">
        <f>HYPERLINK("http://www.eatonpowersource.com/products/configure/motors/details/184-0153-002","184-0153-002")</f>
        <v>184-0153-002</v>
      </c>
      <c r="B14454" s="10" t="s">
        <v>14018</v>
      </c>
    </row>
    <row r="14455" spans="1:2" x14ac:dyDescent="0.3">
      <c r="A14455" s="7" t="str">
        <f>HYPERLINK("http://www.eatonpowersource.com/products/configure/motors/details/184-0155-002","184-0155-002")</f>
        <v>184-0155-002</v>
      </c>
      <c r="B14455" s="8" t="s">
        <v>14019</v>
      </c>
    </row>
    <row r="14456" spans="1:2" x14ac:dyDescent="0.3">
      <c r="A14456" s="9" t="str">
        <f>HYPERLINK("http://www.eatonpowersource.com/products/configure/motors/details/184-0156-002","184-0156-002")</f>
        <v>184-0156-002</v>
      </c>
      <c r="B14456" s="10" t="s">
        <v>14020</v>
      </c>
    </row>
    <row r="14457" spans="1:2" x14ac:dyDescent="0.3">
      <c r="A14457" s="7" t="str">
        <f>HYPERLINK("http://www.eatonpowersource.com/products/configure/motors/details/184-0170-002","184-0170-002")</f>
        <v>184-0170-002</v>
      </c>
      <c r="B14457" s="8" t="s">
        <v>14021</v>
      </c>
    </row>
    <row r="14458" spans="1:2" x14ac:dyDescent="0.3">
      <c r="A14458" s="9" t="str">
        <f>HYPERLINK("http://www.eatonpowersource.com/products/configure/motors/details/184-0196-002","184-0196-002")</f>
        <v>184-0196-002</v>
      </c>
      <c r="B14458" s="10" t="s">
        <v>14022</v>
      </c>
    </row>
    <row r="14459" spans="1:2" x14ac:dyDescent="0.3">
      <c r="A14459" s="7" t="str">
        <f>HYPERLINK("http://www.eatonpowersource.com/products/configure/motors/details/184-0220-002","184-0220-002")</f>
        <v>184-0220-002</v>
      </c>
      <c r="B14459" s="8" t="s">
        <v>14023</v>
      </c>
    </row>
    <row r="14460" spans="1:2" x14ac:dyDescent="0.3">
      <c r="A14460" s="9" t="str">
        <f>HYPERLINK("http://www.eatonpowersource.com/products/configure/motors/details/184-0227-002","184-0227-002")</f>
        <v>184-0227-002</v>
      </c>
      <c r="B14460" s="10" t="s">
        <v>14024</v>
      </c>
    </row>
    <row r="14461" spans="1:2" x14ac:dyDescent="0.3">
      <c r="A14461" s="7" t="str">
        <f>HYPERLINK("http://www.eatonpowersource.com/products/configure/motors/details/184-0231-002","184-0231-002")</f>
        <v>184-0231-002</v>
      </c>
      <c r="B14461" s="8" t="s">
        <v>14025</v>
      </c>
    </row>
    <row r="14462" spans="1:2" x14ac:dyDescent="0.3">
      <c r="A14462" s="9" t="str">
        <f>HYPERLINK("http://www.eatonpowersource.com/products/configure/motors/details/184-0243-002","184-0243-002")</f>
        <v>184-0243-002</v>
      </c>
      <c r="B14462" s="10" t="s">
        <v>14026</v>
      </c>
    </row>
    <row r="14463" spans="1:2" x14ac:dyDescent="0.3">
      <c r="A14463" s="7" t="str">
        <f>HYPERLINK("http://www.eatonpowersource.com/products/configure/motors/details/184-0244-002","184-0244-002")</f>
        <v>184-0244-002</v>
      </c>
      <c r="B14463" s="8" t="s">
        <v>14027</v>
      </c>
    </row>
    <row r="14464" spans="1:2" x14ac:dyDescent="0.3">
      <c r="A14464" s="9" t="str">
        <f>HYPERLINK("http://www.eatonpowersource.com/products/configure/motors/details/184-0254-002","184-0254-002")</f>
        <v>184-0254-002</v>
      </c>
      <c r="B14464" s="10" t="s">
        <v>14028</v>
      </c>
    </row>
    <row r="14465" spans="1:2" x14ac:dyDescent="0.3">
      <c r="A14465" s="7" t="str">
        <f>HYPERLINK("http://www.eatonpowersource.com/products/configure/motors/details/184-0269-002","184-0269-002")</f>
        <v>184-0269-002</v>
      </c>
      <c r="B14465" s="8" t="s">
        <v>14029</v>
      </c>
    </row>
    <row r="14466" spans="1:2" x14ac:dyDescent="0.3">
      <c r="A14466" s="9" t="str">
        <f>HYPERLINK("http://www.eatonpowersource.com/products/configure/motors/details/184-0270-002","184-0270-002")</f>
        <v>184-0270-002</v>
      </c>
      <c r="B14466" s="10" t="s">
        <v>14030</v>
      </c>
    </row>
    <row r="14467" spans="1:2" x14ac:dyDescent="0.3">
      <c r="A14467" s="7" t="str">
        <f>HYPERLINK("http://www.eatonpowersource.com/products/configure/motors/details/184-0285-002","184-0285-002")</f>
        <v>184-0285-002</v>
      </c>
      <c r="B14467" s="8" t="s">
        <v>14031</v>
      </c>
    </row>
    <row r="14468" spans="1:2" x14ac:dyDescent="0.3">
      <c r="A14468" s="9" t="str">
        <f>HYPERLINK("http://www.eatonpowersource.com/products/configure/motors/details/184-0294-002","184-0294-002")</f>
        <v>184-0294-002</v>
      </c>
      <c r="B14468" s="10" t="s">
        <v>14032</v>
      </c>
    </row>
    <row r="14469" spans="1:2" x14ac:dyDescent="0.3">
      <c r="A14469" s="7" t="str">
        <f>HYPERLINK("http://www.eatonpowersource.com/products/configure/motors/details/184-0296-002","184-0296-002")</f>
        <v>184-0296-002</v>
      </c>
      <c r="B14469" s="8" t="s">
        <v>14033</v>
      </c>
    </row>
    <row r="14470" spans="1:2" x14ac:dyDescent="0.3">
      <c r="A14470" s="9" t="str">
        <f>HYPERLINK("http://www.eatonpowersource.com/products/configure/motors/details/184-0303-002","184-0303-002")</f>
        <v>184-0303-002</v>
      </c>
      <c r="B14470" s="10" t="s">
        <v>14034</v>
      </c>
    </row>
    <row r="14471" spans="1:2" x14ac:dyDescent="0.3">
      <c r="A14471" s="7" t="str">
        <f>HYPERLINK("http://www.eatonpowersource.com/products/configure/motors/details/184-0318-002","184-0318-002")</f>
        <v>184-0318-002</v>
      </c>
      <c r="B14471" s="8" t="s">
        <v>14035</v>
      </c>
    </row>
    <row r="14472" spans="1:2" x14ac:dyDescent="0.3">
      <c r="A14472" s="9" t="str">
        <f>HYPERLINK("http://www.eatonpowersource.com/products/configure/motors/details/184-0321-002","184-0321-002")</f>
        <v>184-0321-002</v>
      </c>
      <c r="B14472" s="10" t="s">
        <v>14036</v>
      </c>
    </row>
    <row r="14473" spans="1:2" x14ac:dyDescent="0.3">
      <c r="A14473" s="7" t="str">
        <f>HYPERLINK("http://www.eatonpowersource.com/products/configure/motors/details/184-0322-002","184-0322-002")</f>
        <v>184-0322-002</v>
      </c>
      <c r="B14473" s="8" t="s">
        <v>14037</v>
      </c>
    </row>
    <row r="14474" spans="1:2" x14ac:dyDescent="0.3">
      <c r="A14474" s="9" t="str">
        <f>HYPERLINK("http://www.eatonpowersource.com/products/configure/motors/details/184-0324-002","184-0324-002")</f>
        <v>184-0324-002</v>
      </c>
      <c r="B14474" s="10" t="s">
        <v>14038</v>
      </c>
    </row>
    <row r="14475" spans="1:2" x14ac:dyDescent="0.3">
      <c r="A14475" s="7" t="str">
        <f>HYPERLINK("http://www.eatonpowersource.com/products/configure/motors/details/184-0325-002","184-0325-002")</f>
        <v>184-0325-002</v>
      </c>
      <c r="B14475" s="8" t="s">
        <v>14039</v>
      </c>
    </row>
    <row r="14476" spans="1:2" x14ac:dyDescent="0.3">
      <c r="A14476" s="9" t="str">
        <f>HYPERLINK("http://www.eatonpowersource.com/products/configure/motors/details/184-0330-002","184-0330-002")</f>
        <v>184-0330-002</v>
      </c>
      <c r="B14476" s="10" t="s">
        <v>14040</v>
      </c>
    </row>
    <row r="14477" spans="1:2" x14ac:dyDescent="0.3">
      <c r="A14477" s="7" t="str">
        <f>HYPERLINK("http://www.eatonpowersource.com/products/configure/motors/details/184-0334-002","184-0334-002")</f>
        <v>184-0334-002</v>
      </c>
      <c r="B14477" s="8" t="s">
        <v>14041</v>
      </c>
    </row>
    <row r="14478" spans="1:2" x14ac:dyDescent="0.3">
      <c r="A14478" s="9" t="str">
        <f>HYPERLINK("http://www.eatonpowersource.com/products/configure/motors/details/184-0337-002","184-0337-002")</f>
        <v>184-0337-002</v>
      </c>
      <c r="B14478" s="10" t="s">
        <v>14042</v>
      </c>
    </row>
    <row r="14479" spans="1:2" x14ac:dyDescent="0.3">
      <c r="A14479" s="7" t="str">
        <f>HYPERLINK("http://www.eatonpowersource.com/products/configure/motors/details/184-0339-002","184-0339-002")</f>
        <v>184-0339-002</v>
      </c>
      <c r="B14479" s="8" t="s">
        <v>14043</v>
      </c>
    </row>
    <row r="14480" spans="1:2" x14ac:dyDescent="0.3">
      <c r="A14480" s="9" t="str">
        <f>HYPERLINK("http://www.eatonpowersource.com/products/configure/motors/details/184-0350-002","184-0350-002")</f>
        <v>184-0350-002</v>
      </c>
      <c r="B14480" s="10" t="s">
        <v>14044</v>
      </c>
    </row>
    <row r="14481" spans="1:2" x14ac:dyDescent="0.3">
      <c r="A14481" s="7" t="str">
        <f>HYPERLINK("http://www.eatonpowersource.com/products/configure/motors/details/184-0351-002","184-0351-002")</f>
        <v>184-0351-002</v>
      </c>
      <c r="B14481" s="8" t="s">
        <v>14045</v>
      </c>
    </row>
    <row r="14482" spans="1:2" x14ac:dyDescent="0.3">
      <c r="A14482" s="9" t="str">
        <f>HYPERLINK("http://www.eatonpowersource.com/products/configure/motors/details/184-0360-002","184-0360-002")</f>
        <v>184-0360-002</v>
      </c>
      <c r="B14482" s="10" t="s">
        <v>14046</v>
      </c>
    </row>
    <row r="14483" spans="1:2" x14ac:dyDescent="0.3">
      <c r="A14483" s="7" t="str">
        <f>HYPERLINK("http://www.eatonpowersource.com/products/configure/motors/details/184-0361-002","184-0361-002")</f>
        <v>184-0361-002</v>
      </c>
      <c r="B14483" s="8" t="s">
        <v>14047</v>
      </c>
    </row>
    <row r="14484" spans="1:2" x14ac:dyDescent="0.3">
      <c r="A14484" s="9" t="str">
        <f>HYPERLINK("http://www.eatonpowersource.com/products/configure/motors/details/184-0367-002","184-0367-002")</f>
        <v>184-0367-002</v>
      </c>
      <c r="B14484" s="10" t="s">
        <v>14048</v>
      </c>
    </row>
    <row r="14485" spans="1:2" x14ac:dyDescent="0.3">
      <c r="A14485" s="7" t="str">
        <f>HYPERLINK("http://www.eatonpowersource.com/products/configure/motors/details/184-0368-002","184-0368-002")</f>
        <v>184-0368-002</v>
      </c>
      <c r="B14485" s="8" t="s">
        <v>14049</v>
      </c>
    </row>
    <row r="14486" spans="1:2" x14ac:dyDescent="0.3">
      <c r="A14486" s="9" t="str">
        <f>HYPERLINK("http://www.eatonpowersource.com/products/configure/motors/details/184-0370-002","184-0370-002")</f>
        <v>184-0370-002</v>
      </c>
      <c r="B14486" s="10" t="s">
        <v>14050</v>
      </c>
    </row>
    <row r="14487" spans="1:2" x14ac:dyDescent="0.3">
      <c r="A14487" s="7" t="str">
        <f>HYPERLINK("http://www.eatonpowersource.com/products/configure/motors/details/184-0371-002","184-0371-002")</f>
        <v>184-0371-002</v>
      </c>
      <c r="B14487" s="8" t="s">
        <v>14051</v>
      </c>
    </row>
    <row r="14488" spans="1:2" x14ac:dyDescent="0.3">
      <c r="A14488" s="9" t="str">
        <f>HYPERLINK("http://www.eatonpowersource.com/products/configure/motors/details/184-0373-002","184-0373-002")</f>
        <v>184-0373-002</v>
      </c>
      <c r="B14488" s="10" t="s">
        <v>14052</v>
      </c>
    </row>
    <row r="14489" spans="1:2" x14ac:dyDescent="0.3">
      <c r="A14489" s="7" t="str">
        <f>HYPERLINK("http://www.eatonpowersource.com/products/configure/motors/details/184-0383-002","184-0383-002")</f>
        <v>184-0383-002</v>
      </c>
      <c r="B14489" s="8" t="s">
        <v>14053</v>
      </c>
    </row>
    <row r="14490" spans="1:2" x14ac:dyDescent="0.3">
      <c r="A14490" s="9" t="str">
        <f>HYPERLINK("http://www.eatonpowersource.com/products/configure/motors/details/184-0384-002","184-0384-002")</f>
        <v>184-0384-002</v>
      </c>
      <c r="B14490" s="10" t="s">
        <v>14054</v>
      </c>
    </row>
    <row r="14491" spans="1:2" x14ac:dyDescent="0.3">
      <c r="A14491" s="7" t="str">
        <f>HYPERLINK("http://www.eatonpowersource.com/products/configure/motors/details/184-0385-002","184-0385-002")</f>
        <v>184-0385-002</v>
      </c>
      <c r="B14491" s="8" t="s">
        <v>14055</v>
      </c>
    </row>
    <row r="14492" spans="1:2" x14ac:dyDescent="0.3">
      <c r="A14492" s="9" t="str">
        <f>HYPERLINK("http://www.eatonpowersource.com/products/configure/motors/details/184-0386-002","184-0386-002")</f>
        <v>184-0386-002</v>
      </c>
      <c r="B14492" s="10" t="s">
        <v>14056</v>
      </c>
    </row>
    <row r="14493" spans="1:2" x14ac:dyDescent="0.3">
      <c r="A14493" s="7" t="str">
        <f>HYPERLINK("http://www.eatonpowersource.com/products/configure/motors/details/184-0387-002","184-0387-002")</f>
        <v>184-0387-002</v>
      </c>
      <c r="B14493" s="8" t="s">
        <v>14057</v>
      </c>
    </row>
    <row r="14494" spans="1:2" x14ac:dyDescent="0.3">
      <c r="A14494" s="9" t="str">
        <f>HYPERLINK("http://www.eatonpowersource.com/products/configure/motors/details/184-0388-002","184-0388-002")</f>
        <v>184-0388-002</v>
      </c>
      <c r="B14494" s="10" t="s">
        <v>14058</v>
      </c>
    </row>
    <row r="14495" spans="1:2" x14ac:dyDescent="0.3">
      <c r="A14495" s="7" t="str">
        <f>HYPERLINK("http://www.eatonpowersource.com/products/configure/motors/details/184-0389-002","184-0389-002")</f>
        <v>184-0389-002</v>
      </c>
      <c r="B14495" s="8" t="s">
        <v>14059</v>
      </c>
    </row>
    <row r="14496" spans="1:2" x14ac:dyDescent="0.3">
      <c r="A14496" s="9" t="str">
        <f>HYPERLINK("http://www.eatonpowersource.com/products/configure/motors/details/184-0423-002","184-0423-002")</f>
        <v>184-0423-002</v>
      </c>
      <c r="B14496" s="10" t="s">
        <v>14060</v>
      </c>
    </row>
    <row r="14497" spans="1:2" x14ac:dyDescent="0.3">
      <c r="A14497" s="7" t="str">
        <f>HYPERLINK("http://www.eatonpowersource.com/products/configure/motors/details/184-0424-002","184-0424-002")</f>
        <v>184-0424-002</v>
      </c>
      <c r="B14497" s="8" t="s">
        <v>14061</v>
      </c>
    </row>
    <row r="14498" spans="1:2" x14ac:dyDescent="0.3">
      <c r="A14498" s="9" t="str">
        <f>HYPERLINK("http://www.eatonpowersource.com/products/configure/motors/details/184-0425-002","184-0425-002")</f>
        <v>184-0425-002</v>
      </c>
      <c r="B14498" s="10" t="s">
        <v>14062</v>
      </c>
    </row>
    <row r="14499" spans="1:2" x14ac:dyDescent="0.3">
      <c r="A14499" s="7" t="str">
        <f>HYPERLINK("http://www.eatonpowersource.com/products/configure/motors/details/184-0426-002","184-0426-002")</f>
        <v>184-0426-002</v>
      </c>
      <c r="B14499" s="8" t="s">
        <v>14063</v>
      </c>
    </row>
    <row r="14500" spans="1:2" x14ac:dyDescent="0.3">
      <c r="A14500" s="9" t="str">
        <f>HYPERLINK("http://www.eatonpowersource.com/products/configure/motors/details/184-0427-002","184-0427-002")</f>
        <v>184-0427-002</v>
      </c>
      <c r="B14500" s="10" t="s">
        <v>14064</v>
      </c>
    </row>
    <row r="14501" spans="1:2" x14ac:dyDescent="0.3">
      <c r="A14501" s="7" t="str">
        <f>HYPERLINK("http://www.eatonpowersource.com/products/configure/motors/details/184-0428-002","184-0428-002")</f>
        <v>184-0428-002</v>
      </c>
      <c r="B14501" s="8" t="s">
        <v>14065</v>
      </c>
    </row>
    <row r="14502" spans="1:2" x14ac:dyDescent="0.3">
      <c r="A14502" s="9" t="str">
        <f>HYPERLINK("http://www.eatonpowersource.com/products/configure/motors/details/184-0429-002","184-0429-002")</f>
        <v>184-0429-002</v>
      </c>
      <c r="B14502" s="10" t="s">
        <v>14066</v>
      </c>
    </row>
    <row r="14503" spans="1:2" x14ac:dyDescent="0.3">
      <c r="A14503" s="7" t="str">
        <f>HYPERLINK("http://www.eatonpowersource.com/products/configure/motors/details/184-0430-002","184-0430-002")</f>
        <v>184-0430-002</v>
      </c>
      <c r="B14503" s="8" t="s">
        <v>14067</v>
      </c>
    </row>
    <row r="14504" spans="1:2" x14ac:dyDescent="0.3">
      <c r="A14504" s="9" t="str">
        <f>HYPERLINK("http://www.eatonpowersource.com/products/configure/motors/details/184-0431-002","184-0431-002")</f>
        <v>184-0431-002</v>
      </c>
      <c r="B14504" s="10" t="s">
        <v>14068</v>
      </c>
    </row>
    <row r="14505" spans="1:2" x14ac:dyDescent="0.3">
      <c r="A14505" s="7" t="str">
        <f>HYPERLINK("http://www.eatonpowersource.com/products/configure/motors/details/184-0432-002","184-0432-002")</f>
        <v>184-0432-002</v>
      </c>
      <c r="B14505" s="8" t="s">
        <v>14069</v>
      </c>
    </row>
    <row r="14506" spans="1:2" x14ac:dyDescent="0.3">
      <c r="A14506" s="9" t="str">
        <f>HYPERLINK("http://www.eatonpowersource.com/products/configure/motors/details/184-0433-002","184-0433-002")</f>
        <v>184-0433-002</v>
      </c>
      <c r="B14506" s="10" t="s">
        <v>14070</v>
      </c>
    </row>
    <row r="14507" spans="1:2" x14ac:dyDescent="0.3">
      <c r="A14507" s="7" t="str">
        <f>HYPERLINK("http://www.eatonpowersource.com/products/configure/motors/details/184-0434-002","184-0434-002")</f>
        <v>184-0434-002</v>
      </c>
      <c r="B14507" s="8" t="s">
        <v>14071</v>
      </c>
    </row>
    <row r="14508" spans="1:2" x14ac:dyDescent="0.3">
      <c r="A14508" s="9" t="str">
        <f>HYPERLINK("http://www.eatonpowersource.com/products/configure/motors/details/184-0435-002","184-0435-002")</f>
        <v>184-0435-002</v>
      </c>
      <c r="B14508" s="10" t="s">
        <v>14072</v>
      </c>
    </row>
    <row r="14509" spans="1:2" x14ac:dyDescent="0.3">
      <c r="A14509" s="7" t="str">
        <f>HYPERLINK("http://www.eatonpowersource.com/products/configure/motors/details/184-0436-002","184-0436-002")</f>
        <v>184-0436-002</v>
      </c>
      <c r="B14509" s="8" t="s">
        <v>14073</v>
      </c>
    </row>
    <row r="14510" spans="1:2" x14ac:dyDescent="0.3">
      <c r="A14510" s="9" t="str">
        <f>HYPERLINK("http://www.eatonpowersource.com/products/configure/motors/details/184-0437-002","184-0437-002")</f>
        <v>184-0437-002</v>
      </c>
      <c r="B14510" s="10" t="s">
        <v>14074</v>
      </c>
    </row>
    <row r="14511" spans="1:2" x14ac:dyDescent="0.3">
      <c r="A14511" s="7" t="str">
        <f>HYPERLINK("http://www.eatonpowersource.com/products/configure/motors/details/184-0438-002","184-0438-002")</f>
        <v>184-0438-002</v>
      </c>
      <c r="B14511" s="8" t="s">
        <v>14075</v>
      </c>
    </row>
    <row r="14512" spans="1:2" x14ac:dyDescent="0.3">
      <c r="A14512" s="9" t="str">
        <f>HYPERLINK("http://www.eatonpowersource.com/products/configure/motors/details/184-0439-002","184-0439-002")</f>
        <v>184-0439-002</v>
      </c>
      <c r="B14512" s="10" t="s">
        <v>14076</v>
      </c>
    </row>
    <row r="14513" spans="1:2" x14ac:dyDescent="0.3">
      <c r="A14513" s="7" t="str">
        <f>HYPERLINK("http://www.eatonpowersource.com/products/configure/motors/details/184-0457-002","184-0457-002")</f>
        <v>184-0457-002</v>
      </c>
      <c r="B14513" s="8" t="s">
        <v>14077</v>
      </c>
    </row>
    <row r="14514" spans="1:2" x14ac:dyDescent="0.3">
      <c r="A14514" s="9" t="str">
        <f>HYPERLINK("http://www.eatonpowersource.com/products/configure/motors/details/184-0462-002","184-0462-002")</f>
        <v>184-0462-002</v>
      </c>
      <c r="B14514" s="10" t="s">
        <v>14078</v>
      </c>
    </row>
    <row r="14515" spans="1:2" x14ac:dyDescent="0.3">
      <c r="A14515" s="7" t="str">
        <f>HYPERLINK("http://www.eatonpowersource.com/products/configure/motors/details/184-0477-002","184-0477-002")</f>
        <v>184-0477-002</v>
      </c>
      <c r="B14515" s="8" t="s">
        <v>14079</v>
      </c>
    </row>
    <row r="14516" spans="1:2" x14ac:dyDescent="0.3">
      <c r="A14516" s="9" t="str">
        <f>HYPERLINK("http://www.eatonpowersource.com/products/configure/motors/details/184-0481-002","184-0481-002")</f>
        <v>184-0481-002</v>
      </c>
      <c r="B14516" s="10" t="s">
        <v>14080</v>
      </c>
    </row>
    <row r="14517" spans="1:2" x14ac:dyDescent="0.3">
      <c r="A14517" s="7" t="str">
        <f>HYPERLINK("http://www.eatonpowersource.com/products/configure/motors/details/184-0485-002","184-0485-002")</f>
        <v>184-0485-002</v>
      </c>
      <c r="B14517" s="8" t="s">
        <v>14081</v>
      </c>
    </row>
    <row r="14518" spans="1:2" x14ac:dyDescent="0.3">
      <c r="A14518" s="9" t="str">
        <f>HYPERLINK("http://www.eatonpowersource.com/products/configure/motors/details/184-0494-002","184-0494-002")</f>
        <v>184-0494-002</v>
      </c>
      <c r="B14518" s="10" t="s">
        <v>14082</v>
      </c>
    </row>
    <row r="14519" spans="1:2" x14ac:dyDescent="0.3">
      <c r="A14519" s="7" t="str">
        <f>HYPERLINK("http://www.eatonpowersource.com/products/configure/motors/details/184-0568-002","184-0568-002")</f>
        <v>184-0568-002</v>
      </c>
      <c r="B14519" s="8" t="s">
        <v>14083</v>
      </c>
    </row>
    <row r="14520" spans="1:2" x14ac:dyDescent="0.3">
      <c r="A14520" s="9" t="str">
        <f>HYPERLINK("http://www.eatonpowersource.com/products/configure/motors/details/184-0571-002","184-0571-002")</f>
        <v>184-0571-002</v>
      </c>
      <c r="B14520" s="10" t="s">
        <v>14084</v>
      </c>
    </row>
    <row r="14521" spans="1:2" x14ac:dyDescent="0.3">
      <c r="A14521" s="7" t="str">
        <f>HYPERLINK("http://www.eatonpowersource.com/products/configure/motors/details/184-0572-002","184-0572-002")</f>
        <v>184-0572-002</v>
      </c>
      <c r="B14521" s="8" t="s">
        <v>14085</v>
      </c>
    </row>
    <row r="14522" spans="1:2" x14ac:dyDescent="0.3">
      <c r="A14522" s="9" t="str">
        <f>HYPERLINK("http://www.eatonpowersource.com/products/configure/motors/details/184-0573-002","184-0573-002")</f>
        <v>184-0573-002</v>
      </c>
      <c r="B14522" s="10" t="s">
        <v>14086</v>
      </c>
    </row>
    <row r="14523" spans="1:2" x14ac:dyDescent="0.3">
      <c r="A14523" s="7" t="str">
        <f>HYPERLINK("http://www.eatonpowersource.com/products/configure/motors/details/184-0587-002","184-0587-002")</f>
        <v>184-0587-002</v>
      </c>
      <c r="B14523" s="8" t="s">
        <v>14087</v>
      </c>
    </row>
    <row r="14524" spans="1:2" x14ac:dyDescent="0.3">
      <c r="A14524" s="9" t="str">
        <f>HYPERLINK("http://www.eatonpowersource.com/products/configure/motors/details/184-0588-002","184-0588-002")</f>
        <v>184-0588-002</v>
      </c>
      <c r="B14524" s="10" t="s">
        <v>14088</v>
      </c>
    </row>
    <row r="14525" spans="1:2" x14ac:dyDescent="0.3">
      <c r="A14525" s="7" t="str">
        <f>HYPERLINK("http://www.eatonpowersource.com/products/configure/motors/details/184-0600-002","184-0600-002")</f>
        <v>184-0600-002</v>
      </c>
      <c r="B14525" s="8" t="s">
        <v>14089</v>
      </c>
    </row>
    <row r="14526" spans="1:2" x14ac:dyDescent="0.3">
      <c r="A14526" s="9" t="str">
        <f>HYPERLINK("http://www.eatonpowersource.com/products/configure/motors/details/184-0617-002","184-0617-002")</f>
        <v>184-0617-002</v>
      </c>
      <c r="B14526" s="10" t="s">
        <v>14090</v>
      </c>
    </row>
    <row r="14527" spans="1:2" x14ac:dyDescent="0.3">
      <c r="A14527" s="7" t="str">
        <f>HYPERLINK("http://www.eatonpowersource.com/products/configure/motors/details/184-0221-002","184-0221-002")</f>
        <v>184-0221-002</v>
      </c>
      <c r="B14527" s="8" t="s">
        <v>14091</v>
      </c>
    </row>
    <row r="14528" spans="1:2" x14ac:dyDescent="0.3">
      <c r="A14528" s="9" t="str">
        <f>HYPERLINK("http://www.eatonpowersource.com/products/configure/motors/details/187-0064-003","187-0064-003")</f>
        <v>187-0064-003</v>
      </c>
      <c r="B14528" s="10" t="s">
        <v>14092</v>
      </c>
    </row>
    <row r="14529" spans="1:2" x14ac:dyDescent="0.3">
      <c r="A14529" s="7" t="str">
        <f>HYPERLINK("http://www.eatonpowersource.com/products/configure/motors/details/187-0083-003","187-0083-003")</f>
        <v>187-0083-003</v>
      </c>
      <c r="B14529" s="8" t="s">
        <v>14093</v>
      </c>
    </row>
    <row r="14530" spans="1:2" x14ac:dyDescent="0.3">
      <c r="A14530" s="9" t="str">
        <f>HYPERLINK("http://www.eatonpowersource.com/products/configure/motors/details/187-0169-003","187-0169-003")</f>
        <v>187-0169-003</v>
      </c>
      <c r="B14530" s="10" t="s">
        <v>14094</v>
      </c>
    </row>
    <row r="14531" spans="1:2" x14ac:dyDescent="0.3">
      <c r="A14531" s="7" t="str">
        <f>HYPERLINK("http://www.eatonpowersource.com/products/configure/motors/details/188-0040-003","188-0040-003")</f>
        <v>188-0040-003</v>
      </c>
      <c r="B14531" s="8" t="s">
        <v>14095</v>
      </c>
    </row>
    <row r="14532" spans="1:2" x14ac:dyDescent="0.3">
      <c r="A14532" s="9" t="str">
        <f>HYPERLINK("http://www.eatonpowersource.com/products/configure/motors/details/189-0015-003","189-0015-003")</f>
        <v>189-0015-003</v>
      </c>
      <c r="B14532" s="10" t="s">
        <v>14096</v>
      </c>
    </row>
    <row r="14533" spans="1:2" x14ac:dyDescent="0.3">
      <c r="A14533" s="7" t="str">
        <f>HYPERLINK("http://www.eatonpowersource.com/products/configure/motors/details/190-0113-003","190-0113-003")</f>
        <v>190-0113-003</v>
      </c>
      <c r="B14533" s="8" t="s">
        <v>14097</v>
      </c>
    </row>
    <row r="14534" spans="1:2" x14ac:dyDescent="0.3">
      <c r="A14534" s="9" t="str">
        <f>HYPERLINK("http://www.eatonpowersource.com/products/configure/motors/details/190-0124-003","190-0124-003")</f>
        <v>190-0124-003</v>
      </c>
      <c r="B14534" s="10" t="s">
        <v>14098</v>
      </c>
    </row>
    <row r="14535" spans="1:2" x14ac:dyDescent="0.3">
      <c r="A14535" s="7" t="str">
        <f>HYPERLINK("http://www.eatonpowersource.com/products/configure/motors/details/190-0125-003","190-0125-003")</f>
        <v>190-0125-003</v>
      </c>
      <c r="B14535" s="8" t="s">
        <v>14099</v>
      </c>
    </row>
    <row r="14536" spans="1:2" x14ac:dyDescent="0.3">
      <c r="A14536" s="9" t="str">
        <f>HYPERLINK("http://www.eatonpowersource.com/products/configure/motors/details/190-0126-003","190-0126-003")</f>
        <v>190-0126-003</v>
      </c>
      <c r="B14536" s="10" t="s">
        <v>14100</v>
      </c>
    </row>
    <row r="14537" spans="1:2" x14ac:dyDescent="0.3">
      <c r="A14537" s="7" t="str">
        <f>HYPERLINK("http://www.eatonpowersource.com/products/configure/motors/details/190-0143-003","190-0143-003")</f>
        <v>190-0143-003</v>
      </c>
      <c r="B14537" s="8" t="s">
        <v>14101</v>
      </c>
    </row>
    <row r="14538" spans="1:2" x14ac:dyDescent="0.3">
      <c r="A14538" s="9" t="str">
        <f>HYPERLINK("http://www.eatonpowersource.com/products/configure/motors/details/190-0216-003","190-0216-003")</f>
        <v>190-0216-003</v>
      </c>
      <c r="B14538" s="10" t="s">
        <v>14102</v>
      </c>
    </row>
    <row r="14539" spans="1:2" x14ac:dyDescent="0.3">
      <c r="A14539" s="7" t="str">
        <f>HYPERLINK("http://www.eatonpowersource.com/products/configure/motors/details/190-0223-003","190-0223-003")</f>
        <v>190-0223-003</v>
      </c>
      <c r="B14539" s="8" t="s">
        <v>14103</v>
      </c>
    </row>
    <row r="14540" spans="1:2" x14ac:dyDescent="0.3">
      <c r="A14540" s="9" t="str">
        <f>HYPERLINK("http://www.eatonpowersource.com/products/configure/motors/details/190-0224-003","190-0224-003")</f>
        <v>190-0224-003</v>
      </c>
      <c r="B14540" s="10" t="s">
        <v>14104</v>
      </c>
    </row>
    <row r="14541" spans="1:2" x14ac:dyDescent="0.3">
      <c r="A14541" s="7" t="str">
        <f>HYPERLINK("http://www.eatonpowersource.com/products/configure/motors/details/190-0225-003","190-0225-003")</f>
        <v>190-0225-003</v>
      </c>
      <c r="B14541" s="8" t="s">
        <v>14105</v>
      </c>
    </row>
    <row r="14542" spans="1:2" x14ac:dyDescent="0.3">
      <c r="A14542" s="9" t="str">
        <f>HYPERLINK("http://www.eatonpowersource.com/products/configure/motors/details/190-0233-003","190-0233-003")</f>
        <v>190-0233-003</v>
      </c>
      <c r="B14542" s="10" t="s">
        <v>14106</v>
      </c>
    </row>
    <row r="14543" spans="1:2" x14ac:dyDescent="0.3">
      <c r="A14543" s="7" t="str">
        <f>HYPERLINK("http://www.eatonpowersource.com/products/configure/motors/details/190-0234-003","190-0234-003")</f>
        <v>190-0234-003</v>
      </c>
      <c r="B14543" s="8" t="s">
        <v>14107</v>
      </c>
    </row>
    <row r="14544" spans="1:2" x14ac:dyDescent="0.3">
      <c r="A14544" s="9" t="str">
        <f>HYPERLINK("http://www.eatonpowersource.com/products/configure/motors/details/190-0235-003","190-0235-003")</f>
        <v>190-0235-003</v>
      </c>
      <c r="B14544" s="10" t="s">
        <v>14108</v>
      </c>
    </row>
    <row r="14545" spans="1:2" x14ac:dyDescent="0.3">
      <c r="A14545" s="7" t="str">
        <f>HYPERLINK("http://www.eatonpowersource.com/products/configure/motors/details/190-0236-003","190-0236-003")</f>
        <v>190-0236-003</v>
      </c>
      <c r="B14545" s="8" t="s">
        <v>14109</v>
      </c>
    </row>
    <row r="14546" spans="1:2" x14ac:dyDescent="0.3">
      <c r="A14546" s="9" t="str">
        <f>HYPERLINK("http://www.eatonpowersource.com/products/configure/motors/details/190-0238-003","190-0238-003")</f>
        <v>190-0238-003</v>
      </c>
      <c r="B14546" s="10" t="s">
        <v>14110</v>
      </c>
    </row>
    <row r="14547" spans="1:2" x14ac:dyDescent="0.3">
      <c r="A14547" s="7" t="str">
        <f>HYPERLINK("http://www.eatonpowersource.com/products/configure/motors/details/190-0241-003","190-0241-003")</f>
        <v>190-0241-003</v>
      </c>
      <c r="B14547" s="8" t="s">
        <v>14111</v>
      </c>
    </row>
    <row r="14548" spans="1:2" x14ac:dyDescent="0.3">
      <c r="A14548" s="9" t="str">
        <f>HYPERLINK("http://www.eatonpowersource.com/products/configure/motors/details/190-0249-003","190-0249-003")</f>
        <v>190-0249-003</v>
      </c>
      <c r="B14548" s="10" t="s">
        <v>14112</v>
      </c>
    </row>
    <row r="14549" spans="1:2" x14ac:dyDescent="0.3">
      <c r="A14549" s="7" t="str">
        <f>HYPERLINK("http://www.eatonpowersource.com/products/configure/motors/details/190-0257-003","190-0257-003")</f>
        <v>190-0257-003</v>
      </c>
      <c r="B14549" s="8" t="s">
        <v>14113</v>
      </c>
    </row>
    <row r="14550" spans="1:2" x14ac:dyDescent="0.3">
      <c r="A14550" s="9" t="str">
        <f>HYPERLINK("http://www.eatonpowersource.com/products/configure/motors/details/190-0258-003","190-0258-003")</f>
        <v>190-0258-003</v>
      </c>
      <c r="B14550" s="10" t="s">
        <v>14114</v>
      </c>
    </row>
    <row r="14551" spans="1:2" x14ac:dyDescent="0.3">
      <c r="A14551" s="7" t="str">
        <f>HYPERLINK("http://www.eatonpowersource.com/products/configure/motors/details/190-0259-003","190-0259-003")</f>
        <v>190-0259-003</v>
      </c>
      <c r="B14551" s="8" t="s">
        <v>14115</v>
      </c>
    </row>
    <row r="14552" spans="1:2" x14ac:dyDescent="0.3">
      <c r="A14552" s="9" t="str">
        <f>HYPERLINK("http://www.eatonpowersource.com/products/configure/motors/details/190-0261-003","190-0261-003")</f>
        <v>190-0261-003</v>
      </c>
      <c r="B14552" s="10" t="s">
        <v>14116</v>
      </c>
    </row>
    <row r="14553" spans="1:2" x14ac:dyDescent="0.3">
      <c r="A14553" s="7" t="str">
        <f>HYPERLINK("http://www.eatonpowersource.com/products/configure/motors/details/190-0267-003","190-0267-003")</f>
        <v>190-0267-003</v>
      </c>
      <c r="B14553" s="8" t="s">
        <v>14117</v>
      </c>
    </row>
    <row r="14554" spans="1:2" x14ac:dyDescent="0.3">
      <c r="A14554" s="9" t="str">
        <f>HYPERLINK("http://www.eatonpowersource.com/products/configure/motors/details/191-0080-003","191-0080-003")</f>
        <v>191-0080-003</v>
      </c>
      <c r="B14554" s="10" t="s">
        <v>14118</v>
      </c>
    </row>
    <row r="14555" spans="1:2" x14ac:dyDescent="0.3">
      <c r="A14555" s="7" t="str">
        <f>HYPERLINK("http://www.eatonpowersource.com/products/details/0009212447","0009212447")</f>
        <v>0009212447</v>
      </c>
      <c r="B14555" s="8" t="s">
        <v>14119</v>
      </c>
    </row>
    <row r="14556" spans="1:2" x14ac:dyDescent="0.3">
      <c r="A14556" s="9" t="str">
        <f>HYPERLINK("http://www.eatonpowersource.com/products/details/0009630840","0009630840")</f>
        <v>0009630840</v>
      </c>
      <c r="B14556" s="10" t="s">
        <v>9968</v>
      </c>
    </row>
    <row r="14557" spans="1:2" x14ac:dyDescent="0.3">
      <c r="A14557" s="7" t="str">
        <f>HYPERLINK("http://www.eatonpowersource.com/products/details/101001-022","101001-022")</f>
        <v>101001-022</v>
      </c>
      <c r="B14557" s="8" t="s">
        <v>14120</v>
      </c>
    </row>
    <row r="14558" spans="1:2" x14ac:dyDescent="0.3">
      <c r="A14558" s="9" t="str">
        <f>HYPERLINK("http://www.eatonpowersource.com/products/details/101003-022","101003-022")</f>
        <v>101003-022</v>
      </c>
      <c r="B14558" s="10" t="s">
        <v>14121</v>
      </c>
    </row>
    <row r="14559" spans="1:2" x14ac:dyDescent="0.3">
      <c r="A14559" s="7" t="str">
        <f>HYPERLINK("http://www.eatonpowersource.com/products/details/101006-000","101006-000")</f>
        <v>101006-000</v>
      </c>
      <c r="B14559" s="8" t="s">
        <v>14122</v>
      </c>
    </row>
    <row r="14560" spans="1:2" x14ac:dyDescent="0.3">
      <c r="A14560" s="9" t="str">
        <f>HYPERLINK("http://www.eatonpowersource.com/products/details/101007-000","101007-000")</f>
        <v>101007-000</v>
      </c>
      <c r="B14560" s="10" t="s">
        <v>14123</v>
      </c>
    </row>
    <row r="14561" spans="1:2" x14ac:dyDescent="0.3">
      <c r="A14561" s="7" t="str">
        <f>HYPERLINK("http://www.eatonpowersource.com/products/details/101016-000","101016-000")</f>
        <v>101016-000</v>
      </c>
      <c r="B14561" s="8" t="s">
        <v>14124</v>
      </c>
    </row>
    <row r="14562" spans="1:2" x14ac:dyDescent="0.3">
      <c r="A14562" s="9" t="str">
        <f>HYPERLINK("http://www.eatonpowersource.com/products/details/101017-000","101017-000")</f>
        <v>101017-000</v>
      </c>
      <c r="B14562" s="10" t="s">
        <v>14125</v>
      </c>
    </row>
    <row r="14563" spans="1:2" x14ac:dyDescent="0.3">
      <c r="A14563" s="7" t="str">
        <f>HYPERLINK("http://www.eatonpowersource.com/products/details/101018-000","101018-000")</f>
        <v>101018-000</v>
      </c>
      <c r="B14563" s="8" t="s">
        <v>14126</v>
      </c>
    </row>
    <row r="14564" spans="1:2" x14ac:dyDescent="0.3">
      <c r="A14564" s="9" t="str">
        <f>HYPERLINK("http://www.eatonpowersource.com/products/details/101047-150","101047-150")</f>
        <v>101047-150</v>
      </c>
      <c r="B14564" s="10" t="s">
        <v>14127</v>
      </c>
    </row>
    <row r="14565" spans="1:2" x14ac:dyDescent="0.3">
      <c r="A14565" s="7" t="str">
        <f>HYPERLINK("http://www.eatonpowersource.com/products/details/101047-300","101047-300")</f>
        <v>101047-300</v>
      </c>
      <c r="B14565" s="8" t="s">
        <v>14128</v>
      </c>
    </row>
    <row r="14566" spans="1:2" x14ac:dyDescent="0.3">
      <c r="A14566" s="9" t="str">
        <f>HYPERLINK("http://www.eatonpowersource.com/products/details/101047-350","101047-350")</f>
        <v>101047-350</v>
      </c>
      <c r="B14566" s="10" t="s">
        <v>14129</v>
      </c>
    </row>
    <row r="14567" spans="1:2" x14ac:dyDescent="0.3">
      <c r="A14567" s="7" t="str">
        <f>HYPERLINK("http://www.eatonpowersource.com/products/details/101047-400","101047-400")</f>
        <v>101047-400</v>
      </c>
      <c r="B14567" s="8" t="s">
        <v>14130</v>
      </c>
    </row>
    <row r="14568" spans="1:2" x14ac:dyDescent="0.3">
      <c r="A14568" s="9" t="str">
        <f>HYPERLINK("http://www.eatonpowersource.com/products/details/101047-450","101047-450")</f>
        <v>101047-450</v>
      </c>
      <c r="B14568" s="10" t="s">
        <v>14131</v>
      </c>
    </row>
    <row r="14569" spans="1:2" x14ac:dyDescent="0.3">
      <c r="A14569" s="7" t="str">
        <f>HYPERLINK("http://www.eatonpowersource.com/products/details/101047-500","101047-500")</f>
        <v>101047-500</v>
      </c>
      <c r="B14569" s="8" t="s">
        <v>14132</v>
      </c>
    </row>
    <row r="14570" spans="1:2" x14ac:dyDescent="0.3">
      <c r="A14570" s="9" t="str">
        <f>HYPERLINK("http://www.eatonpowersource.com/products/details/101047-525","101047-525")</f>
        <v>101047-525</v>
      </c>
      <c r="B14570" s="10" t="s">
        <v>14133</v>
      </c>
    </row>
    <row r="14571" spans="1:2" x14ac:dyDescent="0.3">
      <c r="A14571" s="7" t="str">
        <f>HYPERLINK("http://www.eatonpowersource.com/products/details/101047-550","101047-550")</f>
        <v>101047-550</v>
      </c>
      <c r="B14571" s="8" t="s">
        <v>14134</v>
      </c>
    </row>
    <row r="14572" spans="1:2" x14ac:dyDescent="0.3">
      <c r="A14572" s="9" t="str">
        <f>HYPERLINK("http://www.eatonpowersource.com/products/details/101047-600","101047-600")</f>
        <v>101047-600</v>
      </c>
      <c r="B14572" s="10" t="s">
        <v>14135</v>
      </c>
    </row>
    <row r="14573" spans="1:2" x14ac:dyDescent="0.3">
      <c r="A14573" s="7" t="str">
        <f>HYPERLINK("http://www.eatonpowersource.com/products/details/101048-016","101048-016")</f>
        <v>101048-016</v>
      </c>
      <c r="B14573" s="8" t="s">
        <v>14136</v>
      </c>
    </row>
    <row r="14574" spans="1:2" x14ac:dyDescent="0.3">
      <c r="A14574" s="9" t="str">
        <f>HYPERLINK("http://www.eatonpowersource.com/products/details/101048-022","101048-022")</f>
        <v>101048-022</v>
      </c>
      <c r="B14574" s="10" t="s">
        <v>14137</v>
      </c>
    </row>
    <row r="14575" spans="1:2" x14ac:dyDescent="0.3">
      <c r="A14575" s="7" t="str">
        <f>HYPERLINK("http://www.eatonpowersource.com/products/details/101048-026","101048-026")</f>
        <v>101048-026</v>
      </c>
      <c r="B14575" s="8" t="s">
        <v>14138</v>
      </c>
    </row>
    <row r="14576" spans="1:2" x14ac:dyDescent="0.3">
      <c r="A14576" s="9" t="str">
        <f>HYPERLINK("http://www.eatonpowersource.com/products/details/101048-028","101048-028")</f>
        <v>101048-028</v>
      </c>
      <c r="B14576" s="10" t="s">
        <v>14139</v>
      </c>
    </row>
    <row r="14577" spans="1:2" x14ac:dyDescent="0.3">
      <c r="A14577" s="7" t="str">
        <f>HYPERLINK("http://www.eatonpowersource.com/products/details/101128-000","101128-000")</f>
        <v>101128-000</v>
      </c>
      <c r="B14577" s="8" t="s">
        <v>14140</v>
      </c>
    </row>
    <row r="14578" spans="1:2" x14ac:dyDescent="0.3">
      <c r="A14578" s="9" t="str">
        <f>HYPERLINK("http://www.eatonpowersource.com/products/details/101129-000","101129-000")</f>
        <v>101129-000</v>
      </c>
      <c r="B14578" s="10" t="s">
        <v>14141</v>
      </c>
    </row>
    <row r="14579" spans="1:2" x14ac:dyDescent="0.3">
      <c r="A14579" s="7" t="str">
        <f>HYPERLINK("http://www.eatonpowersource.com/products/details/101179-000","101179-000")</f>
        <v>101179-000</v>
      </c>
      <c r="B14579" s="8" t="s">
        <v>14142</v>
      </c>
    </row>
    <row r="14580" spans="1:2" x14ac:dyDescent="0.3">
      <c r="A14580" s="9" t="str">
        <f>HYPERLINK("http://www.eatonpowersource.com/products/details/101187-000","101187-000")</f>
        <v>101187-000</v>
      </c>
      <c r="B14580" s="10" t="s">
        <v>14143</v>
      </c>
    </row>
    <row r="14581" spans="1:2" x14ac:dyDescent="0.3">
      <c r="A14581" s="7" t="str">
        <f>HYPERLINK("http://www.eatonpowersource.com/products/details/101305-000","101305-000")</f>
        <v>101305-000</v>
      </c>
      <c r="B14581" s="8" t="s">
        <v>14144</v>
      </c>
    </row>
    <row r="14582" spans="1:2" x14ac:dyDescent="0.3">
      <c r="A14582" s="9" t="str">
        <f>HYPERLINK("http://www.eatonpowersource.com/products/details/101311-000","101311-000")</f>
        <v>101311-000</v>
      </c>
      <c r="B14582" s="10" t="s">
        <v>14145</v>
      </c>
    </row>
    <row r="14583" spans="1:2" x14ac:dyDescent="0.3">
      <c r="A14583" s="7" t="str">
        <f>HYPERLINK("http://www.eatonpowersource.com/products/details/101312-000","101312-000")</f>
        <v>101312-000</v>
      </c>
      <c r="B14583" s="8" t="s">
        <v>14146</v>
      </c>
    </row>
    <row r="14584" spans="1:2" x14ac:dyDescent="0.3">
      <c r="A14584" s="9" t="str">
        <f>HYPERLINK("http://www.eatonpowersource.com/products/details/101317-000","101317-000")</f>
        <v>101317-000</v>
      </c>
      <c r="B14584" s="10" t="s">
        <v>14147</v>
      </c>
    </row>
    <row r="14585" spans="1:2" x14ac:dyDescent="0.3">
      <c r="A14585" s="7" t="str">
        <f>HYPERLINK("http://www.eatonpowersource.com/products/details/101373-000","101373-000")</f>
        <v>101373-000</v>
      </c>
      <c r="B14585" s="8" t="s">
        <v>14148</v>
      </c>
    </row>
    <row r="14586" spans="1:2" x14ac:dyDescent="0.3">
      <c r="A14586" s="9" t="str">
        <f>HYPERLINK("http://www.eatonpowersource.com/products/details/101375-000","101375-000")</f>
        <v>101375-000</v>
      </c>
      <c r="B14586" s="10" t="s">
        <v>14149</v>
      </c>
    </row>
    <row r="14587" spans="1:2" x14ac:dyDescent="0.3">
      <c r="A14587" s="7" t="str">
        <f>HYPERLINK("http://www.eatonpowersource.com/products/details/101470-000","101470-000")</f>
        <v>101470-000</v>
      </c>
      <c r="B14587" s="8" t="s">
        <v>14150</v>
      </c>
    </row>
    <row r="14588" spans="1:2" x14ac:dyDescent="0.3">
      <c r="A14588" s="9" t="str">
        <f>HYPERLINK("http://www.eatonpowersource.com/products/details/101540-000","101540-000")</f>
        <v>101540-000</v>
      </c>
      <c r="B14588" s="10" t="s">
        <v>14151</v>
      </c>
    </row>
    <row r="14589" spans="1:2" x14ac:dyDescent="0.3">
      <c r="A14589" s="7" t="str">
        <f>HYPERLINK("http://www.eatonpowersource.com/products/details/101571-000","101571-000")</f>
        <v>101571-000</v>
      </c>
      <c r="B14589" s="8" t="s">
        <v>14152</v>
      </c>
    </row>
    <row r="14590" spans="1:2" x14ac:dyDescent="0.3">
      <c r="A14590" s="9" t="str">
        <f>HYPERLINK("http://www.eatonpowersource.com/products/details/101588-034","101588-034")</f>
        <v>101588-034</v>
      </c>
      <c r="B14590" s="10" t="s">
        <v>14153</v>
      </c>
    </row>
    <row r="14591" spans="1:2" x14ac:dyDescent="0.3">
      <c r="A14591" s="7" t="str">
        <f>HYPERLINK("http://www.eatonpowersource.com/products/details/101590-022","101590-022")</f>
        <v>101590-022</v>
      </c>
      <c r="B14591" s="8" t="s">
        <v>14154</v>
      </c>
    </row>
    <row r="14592" spans="1:2" x14ac:dyDescent="0.3">
      <c r="A14592" s="9" t="str">
        <f>HYPERLINK("http://www.eatonpowersource.com/products/details/101590-034","101590-034")</f>
        <v>101590-034</v>
      </c>
      <c r="B14592" s="10" t="s">
        <v>14154</v>
      </c>
    </row>
    <row r="14593" spans="1:2" x14ac:dyDescent="0.3">
      <c r="A14593" s="7" t="str">
        <f>HYPERLINK("http://www.eatonpowersource.com/products/details/101619-028","101619-028")</f>
        <v>101619-028</v>
      </c>
      <c r="B14593" s="8" t="s">
        <v>14155</v>
      </c>
    </row>
    <row r="14594" spans="1:2" x14ac:dyDescent="0.3">
      <c r="A14594" s="9" t="str">
        <f>HYPERLINK("http://www.eatonpowersource.com/products/details/101619-032","101619-032")</f>
        <v>101619-032</v>
      </c>
      <c r="B14594" s="10" t="s">
        <v>14156</v>
      </c>
    </row>
    <row r="14595" spans="1:2" x14ac:dyDescent="0.3">
      <c r="A14595" s="7" t="str">
        <f>HYPERLINK("http://www.eatonpowersource.com/products/details/101619-036","101619-036")</f>
        <v>101619-036</v>
      </c>
      <c r="B14595" s="8" t="s">
        <v>14156</v>
      </c>
    </row>
    <row r="14596" spans="1:2" x14ac:dyDescent="0.3">
      <c r="A14596" s="9" t="str">
        <f>HYPERLINK("http://www.eatonpowersource.com/products/details/101619-044","101619-044")</f>
        <v>101619-044</v>
      </c>
      <c r="B14596" s="10" t="s">
        <v>14156</v>
      </c>
    </row>
    <row r="14597" spans="1:2" x14ac:dyDescent="0.3">
      <c r="A14597" s="7" t="str">
        <f>HYPERLINK("http://www.eatonpowersource.com/products/details/101619-048","101619-048")</f>
        <v>101619-048</v>
      </c>
      <c r="B14597" s="8" t="s">
        <v>14156</v>
      </c>
    </row>
    <row r="14598" spans="1:2" x14ac:dyDescent="0.3">
      <c r="A14598" s="9" t="str">
        <f>HYPERLINK("http://www.eatonpowersource.com/products/details/101619-052","101619-052")</f>
        <v>101619-052</v>
      </c>
      <c r="B14598" s="10" t="s">
        <v>14156</v>
      </c>
    </row>
    <row r="14599" spans="1:2" x14ac:dyDescent="0.3">
      <c r="A14599" s="7" t="str">
        <f>HYPERLINK("http://www.eatonpowersource.com/products/details/101619-073","101619-073")</f>
        <v>101619-073</v>
      </c>
      <c r="B14599" s="8" t="s">
        <v>14156</v>
      </c>
    </row>
    <row r="14600" spans="1:2" x14ac:dyDescent="0.3">
      <c r="A14600" s="9" t="str">
        <f>HYPERLINK("http://www.eatonpowersource.com/products/details/101619-102","101619-102")</f>
        <v>101619-102</v>
      </c>
      <c r="B14600" s="10" t="s">
        <v>14156</v>
      </c>
    </row>
    <row r="14601" spans="1:2" x14ac:dyDescent="0.3">
      <c r="A14601" s="7" t="str">
        <f>HYPERLINK("http://www.eatonpowersource.com/products/details/101680-156","101680-156")</f>
        <v>101680-156</v>
      </c>
      <c r="B14601" s="8" t="s">
        <v>14157</v>
      </c>
    </row>
    <row r="14602" spans="1:2" x14ac:dyDescent="0.3">
      <c r="A14602" s="9" t="str">
        <f>HYPERLINK("http://www.eatonpowersource.com/products/details/101680-206","101680-206")</f>
        <v>101680-206</v>
      </c>
      <c r="B14602" s="10" t="s">
        <v>14158</v>
      </c>
    </row>
    <row r="14603" spans="1:2" x14ac:dyDescent="0.3">
      <c r="A14603" s="7" t="str">
        <f>HYPERLINK("http://www.eatonpowersource.com/products/details/101680-250","101680-250")</f>
        <v>101680-250</v>
      </c>
      <c r="B14603" s="8" t="s">
        <v>14159</v>
      </c>
    </row>
    <row r="14604" spans="1:2" x14ac:dyDescent="0.3">
      <c r="A14604" s="9" t="str">
        <f>HYPERLINK("http://www.eatonpowersource.com/products/details/101727-000","101727-000")</f>
        <v>101727-000</v>
      </c>
      <c r="B14604" s="10" t="s">
        <v>14160</v>
      </c>
    </row>
    <row r="14605" spans="1:2" x14ac:dyDescent="0.3">
      <c r="A14605" s="7" t="str">
        <f>HYPERLINK("http://www.eatonpowersource.com/products/details/101729-000","101729-000")</f>
        <v>101729-000</v>
      </c>
      <c r="B14605" s="8" t="s">
        <v>14161</v>
      </c>
    </row>
    <row r="14606" spans="1:2" x14ac:dyDescent="0.3">
      <c r="A14606" s="9" t="str">
        <f>HYPERLINK("http://www.eatonpowersource.com/products/details/101732-500","101732-500")</f>
        <v>101732-500</v>
      </c>
      <c r="B14606" s="10" t="s">
        <v>14162</v>
      </c>
    </row>
    <row r="14607" spans="1:2" x14ac:dyDescent="0.3">
      <c r="A14607" s="7" t="str">
        <f>HYPERLINK("http://www.eatonpowersource.com/products/details/101732-600","101732-600")</f>
        <v>101732-600</v>
      </c>
      <c r="B14607" s="8" t="s">
        <v>14162</v>
      </c>
    </row>
    <row r="14608" spans="1:2" x14ac:dyDescent="0.3">
      <c r="A14608" s="9" t="str">
        <f>HYPERLINK("http://www.eatonpowersource.com/products/details/101778-000","101778-000")</f>
        <v>101778-000</v>
      </c>
      <c r="B14608" s="10" t="s">
        <v>14163</v>
      </c>
    </row>
    <row r="14609" spans="1:2" x14ac:dyDescent="0.3">
      <c r="A14609" s="7" t="str">
        <f>HYPERLINK("http://www.eatonpowersource.com/products/details/101780-000","101780-000")</f>
        <v>101780-000</v>
      </c>
      <c r="B14609" s="8" t="s">
        <v>14164</v>
      </c>
    </row>
    <row r="14610" spans="1:2" x14ac:dyDescent="0.3">
      <c r="A14610" s="9" t="str">
        <f>HYPERLINK("http://www.eatonpowersource.com/products/details/101785-000","101785-000")</f>
        <v>101785-000</v>
      </c>
      <c r="B14610" s="10" t="s">
        <v>14165</v>
      </c>
    </row>
    <row r="14611" spans="1:2" x14ac:dyDescent="0.3">
      <c r="A14611" s="7" t="str">
        <f>HYPERLINK("http://www.eatonpowersource.com/products/details/101786-000","101786-000")</f>
        <v>101786-000</v>
      </c>
      <c r="B14611" s="8" t="s">
        <v>14166</v>
      </c>
    </row>
    <row r="14612" spans="1:2" x14ac:dyDescent="0.3">
      <c r="A14612" s="9" t="str">
        <f>HYPERLINK("http://www.eatonpowersource.com/products/details/101787-000","101787-000")</f>
        <v>101787-000</v>
      </c>
      <c r="B14612" s="10" t="s">
        <v>14167</v>
      </c>
    </row>
    <row r="14613" spans="1:2" x14ac:dyDescent="0.3">
      <c r="A14613" s="7" t="str">
        <f>HYPERLINK("http://www.eatonpowersource.com/products/details/101788-000","101788-000")</f>
        <v>101788-000</v>
      </c>
      <c r="B14613" s="8" t="s">
        <v>14168</v>
      </c>
    </row>
    <row r="14614" spans="1:2" x14ac:dyDescent="0.3">
      <c r="A14614" s="9" t="str">
        <f>HYPERLINK("http://www.eatonpowersource.com/products/details/101794-000","101794-000")</f>
        <v>101794-000</v>
      </c>
      <c r="B14614" s="10" t="s">
        <v>14169</v>
      </c>
    </row>
    <row r="14615" spans="1:2" x14ac:dyDescent="0.3">
      <c r="A14615" s="7" t="str">
        <f>HYPERLINK("http://www.eatonpowersource.com/products/details/101798-000","101798-000")</f>
        <v>101798-000</v>
      </c>
      <c r="B14615" s="8" t="s">
        <v>14170</v>
      </c>
    </row>
    <row r="14616" spans="1:2" x14ac:dyDescent="0.3">
      <c r="A14616" s="9" t="str">
        <f>HYPERLINK("http://www.eatonpowersource.com/products/details/101810-000","101810-000")</f>
        <v>101810-000</v>
      </c>
      <c r="B14616" s="10" t="s">
        <v>14171</v>
      </c>
    </row>
    <row r="14617" spans="1:2" x14ac:dyDescent="0.3">
      <c r="A14617" s="7" t="str">
        <f>HYPERLINK("http://www.eatonpowersource.com/products/details/101815-000","101815-000")</f>
        <v>101815-000</v>
      </c>
      <c r="B14617" s="8" t="s">
        <v>14172</v>
      </c>
    </row>
    <row r="14618" spans="1:2" x14ac:dyDescent="0.3">
      <c r="A14618" s="9" t="str">
        <f>HYPERLINK("http://www.eatonpowersource.com/products/details/101838-000","101838-000")</f>
        <v>101838-000</v>
      </c>
      <c r="B14618" s="10" t="s">
        <v>14173</v>
      </c>
    </row>
    <row r="14619" spans="1:2" x14ac:dyDescent="0.3">
      <c r="A14619" s="7" t="str">
        <f>HYPERLINK("http://www.eatonpowersource.com/products/details/101930-000","101930-000")</f>
        <v>101930-000</v>
      </c>
      <c r="B14619" s="8" t="s">
        <v>14174</v>
      </c>
    </row>
    <row r="14620" spans="1:2" x14ac:dyDescent="0.3">
      <c r="A14620" s="9" t="str">
        <f>HYPERLINK("http://www.eatonpowersource.com/products/details/102065-000","102065-000")</f>
        <v>102065-000</v>
      </c>
      <c r="B14620" s="10" t="s">
        <v>14175</v>
      </c>
    </row>
    <row r="14621" spans="1:2" x14ac:dyDescent="0.3">
      <c r="A14621" s="7" t="str">
        <f>HYPERLINK("http://www.eatonpowersource.com/products/details/102067-000","102067-000")</f>
        <v>102067-000</v>
      </c>
      <c r="B14621" s="8" t="s">
        <v>14174</v>
      </c>
    </row>
    <row r="14622" spans="1:2" x14ac:dyDescent="0.3">
      <c r="A14622" s="9" t="str">
        <f>HYPERLINK("http://www.eatonpowersource.com/products/details/102097-000","102097-000")</f>
        <v>102097-000</v>
      </c>
      <c r="B14622" s="10" t="s">
        <v>14176</v>
      </c>
    </row>
    <row r="14623" spans="1:2" x14ac:dyDescent="0.3">
      <c r="A14623" s="7" t="str">
        <f>HYPERLINK("http://www.eatonpowersource.com/products/details/102149-019","102149-019")</f>
        <v>102149-019</v>
      </c>
      <c r="B14623" s="8" t="s">
        <v>14177</v>
      </c>
    </row>
    <row r="14624" spans="1:2" x14ac:dyDescent="0.3">
      <c r="A14624" s="9" t="str">
        <f>HYPERLINK("http://www.eatonpowersource.com/products/details/102223-450","102223-450")</f>
        <v>102223-450</v>
      </c>
      <c r="B14624" s="10" t="s">
        <v>14178</v>
      </c>
    </row>
    <row r="14625" spans="1:2" x14ac:dyDescent="0.3">
      <c r="A14625" s="7" t="str">
        <f>HYPERLINK("http://www.eatonpowersource.com/products/details/102223-500","102223-500")</f>
        <v>102223-500</v>
      </c>
      <c r="B14625" s="8" t="s">
        <v>14179</v>
      </c>
    </row>
    <row r="14626" spans="1:2" x14ac:dyDescent="0.3">
      <c r="A14626" s="9" t="str">
        <f>HYPERLINK("http://www.eatonpowersource.com/products/details/102223-550","102223-550")</f>
        <v>102223-550</v>
      </c>
      <c r="B14626" s="10" t="s">
        <v>14180</v>
      </c>
    </row>
    <row r="14627" spans="1:2" x14ac:dyDescent="0.3">
      <c r="A14627" s="7" t="str">
        <f>HYPERLINK("http://www.eatonpowersource.com/products/details/102319-000","102319-000")</f>
        <v>102319-000</v>
      </c>
      <c r="B14627" s="8" t="s">
        <v>14181</v>
      </c>
    </row>
    <row r="14628" spans="1:2" x14ac:dyDescent="0.3">
      <c r="A14628" s="9" t="str">
        <f>HYPERLINK("http://www.eatonpowersource.com/products/details/102320-000","102320-000")</f>
        <v>102320-000</v>
      </c>
      <c r="B14628" s="10" t="s">
        <v>14182</v>
      </c>
    </row>
    <row r="14629" spans="1:2" x14ac:dyDescent="0.3">
      <c r="A14629" s="7" t="str">
        <f>HYPERLINK("http://www.eatonpowersource.com/products/details/102409-000","102409-000")</f>
        <v>102409-000</v>
      </c>
      <c r="B14629" s="8" t="s">
        <v>14183</v>
      </c>
    </row>
    <row r="14630" spans="1:2" x14ac:dyDescent="0.3">
      <c r="A14630" s="9" t="str">
        <f>HYPERLINK("http://www.eatonpowersource.com/products/details/102413-000","102413-000")</f>
        <v>102413-000</v>
      </c>
      <c r="B14630" s="10" t="s">
        <v>14184</v>
      </c>
    </row>
    <row r="14631" spans="1:2" x14ac:dyDescent="0.3">
      <c r="A14631" s="7" t="str">
        <f>HYPERLINK("http://www.eatonpowersource.com/products/details/102418-000","102418-000")</f>
        <v>102418-000</v>
      </c>
      <c r="B14631" s="8" t="s">
        <v>14185</v>
      </c>
    </row>
    <row r="14632" spans="1:2" x14ac:dyDescent="0.3">
      <c r="A14632" s="9" t="str">
        <f>HYPERLINK("http://www.eatonpowersource.com/products/details/102452-000","102452-000")</f>
        <v>102452-000</v>
      </c>
      <c r="B14632" s="10" t="s">
        <v>14186</v>
      </c>
    </row>
    <row r="14633" spans="1:2" x14ac:dyDescent="0.3">
      <c r="A14633" s="7" t="str">
        <f>HYPERLINK("http://www.eatonpowersource.com/products/details/102454-000","102454-000")</f>
        <v>102454-000</v>
      </c>
      <c r="B14633" s="8" t="s">
        <v>14187</v>
      </c>
    </row>
    <row r="14634" spans="1:2" x14ac:dyDescent="0.3">
      <c r="A14634" s="9" t="str">
        <f>HYPERLINK("http://www.eatonpowersource.com/products/details/102458-000","102458-000")</f>
        <v>102458-000</v>
      </c>
      <c r="B14634" s="10" t="s">
        <v>14188</v>
      </c>
    </row>
    <row r="14635" spans="1:2" x14ac:dyDescent="0.3">
      <c r="A14635" s="7" t="str">
        <f>HYPERLINK("http://www.eatonpowersource.com/products/details/102464-000","102464-000")</f>
        <v>102464-000</v>
      </c>
      <c r="B14635" s="8" t="s">
        <v>14189</v>
      </c>
    </row>
    <row r="14636" spans="1:2" x14ac:dyDescent="0.3">
      <c r="A14636" s="9" t="str">
        <f>HYPERLINK("http://www.eatonpowersource.com/products/details/102501-000","102501-000")</f>
        <v>102501-000</v>
      </c>
      <c r="B14636" s="10" t="s">
        <v>14190</v>
      </c>
    </row>
    <row r="14637" spans="1:2" x14ac:dyDescent="0.3">
      <c r="A14637" s="7" t="str">
        <f>HYPERLINK("http://www.eatonpowersource.com/products/details/102509-000","102509-000")</f>
        <v>102509-000</v>
      </c>
      <c r="B14637" s="8" t="s">
        <v>14191</v>
      </c>
    </row>
    <row r="14638" spans="1:2" x14ac:dyDescent="0.3">
      <c r="A14638" s="9" t="str">
        <f>HYPERLINK("http://www.eatonpowersource.com/products/details/102517-052","102517-052")</f>
        <v>102517-052</v>
      </c>
      <c r="B14638" s="10" t="s">
        <v>14192</v>
      </c>
    </row>
    <row r="14639" spans="1:2" x14ac:dyDescent="0.3">
      <c r="A14639" s="7" t="str">
        <f>HYPERLINK("http://www.eatonpowersource.com/products/details/102530-000","102530-000")</f>
        <v>102530-000</v>
      </c>
      <c r="B14639" s="8" t="s">
        <v>14193</v>
      </c>
    </row>
    <row r="14640" spans="1:2" x14ac:dyDescent="0.3">
      <c r="A14640" s="9" t="str">
        <f>HYPERLINK("http://www.eatonpowersource.com/products/details/102532-000","102532-000")</f>
        <v>102532-000</v>
      </c>
      <c r="B14640" s="10" t="s">
        <v>14194</v>
      </c>
    </row>
    <row r="14641" spans="1:2" x14ac:dyDescent="0.3">
      <c r="A14641" s="7" t="str">
        <f>HYPERLINK("http://www.eatonpowersource.com/products/details/102537-000","102537-000")</f>
        <v>102537-000</v>
      </c>
      <c r="B14641" s="8" t="s">
        <v>14195</v>
      </c>
    </row>
    <row r="14642" spans="1:2" x14ac:dyDescent="0.3">
      <c r="A14642" s="9" t="str">
        <f>HYPERLINK("http://www.eatonpowersource.com/products/details/102550-073","102550-073")</f>
        <v>102550-073</v>
      </c>
      <c r="B14642" s="10" t="s">
        <v>14196</v>
      </c>
    </row>
    <row r="14643" spans="1:2" x14ac:dyDescent="0.3">
      <c r="A14643" s="7" t="str">
        <f>HYPERLINK("http://www.eatonpowersource.com/products/details/102554-000","102554-000")</f>
        <v>102554-000</v>
      </c>
      <c r="B14643" s="8" t="s">
        <v>14197</v>
      </c>
    </row>
    <row r="14644" spans="1:2" x14ac:dyDescent="0.3">
      <c r="A14644" s="9" t="str">
        <f>HYPERLINK("http://www.eatonpowersource.com/products/details/102561-000","102561-000")</f>
        <v>102561-000</v>
      </c>
      <c r="B14644" s="10" t="s">
        <v>14198</v>
      </c>
    </row>
    <row r="14645" spans="1:2" x14ac:dyDescent="0.3">
      <c r="A14645" s="7" t="str">
        <f>HYPERLINK("http://www.eatonpowersource.com/products/details/102574-000","102574-000")</f>
        <v>102574-000</v>
      </c>
      <c r="B14645" s="8" t="s">
        <v>14199</v>
      </c>
    </row>
    <row r="14646" spans="1:2" x14ac:dyDescent="0.3">
      <c r="A14646" s="9" t="str">
        <f>HYPERLINK("http://www.eatonpowersource.com/products/details/102603-000","102603-000")</f>
        <v>102603-000</v>
      </c>
      <c r="B14646" s="10" t="s">
        <v>14200</v>
      </c>
    </row>
    <row r="14647" spans="1:2" x14ac:dyDescent="0.3">
      <c r="A14647" s="7" t="str">
        <f>HYPERLINK("http://www.eatonpowersource.com/products/details/102638-000","102638-000")</f>
        <v>102638-000</v>
      </c>
      <c r="B14647" s="8" t="s">
        <v>14201</v>
      </c>
    </row>
    <row r="14648" spans="1:2" x14ac:dyDescent="0.3">
      <c r="A14648" s="9" t="str">
        <f>HYPERLINK("http://www.eatonpowersource.com/products/details/102639-000","102639-000")</f>
        <v>102639-000</v>
      </c>
      <c r="B14648" s="10" t="s">
        <v>14202</v>
      </c>
    </row>
    <row r="14649" spans="1:2" x14ac:dyDescent="0.3">
      <c r="A14649" s="7" t="str">
        <f>HYPERLINK("http://www.eatonpowersource.com/products/details/102657-000","102657-000")</f>
        <v>102657-000</v>
      </c>
      <c r="B14649" s="8" t="s">
        <v>14203</v>
      </c>
    </row>
    <row r="14650" spans="1:2" x14ac:dyDescent="0.3">
      <c r="A14650" s="9" t="str">
        <f>HYPERLINK("http://www.eatonpowersource.com/products/details/102661-000","102661-000")</f>
        <v>102661-000</v>
      </c>
      <c r="B14650" s="10" t="s">
        <v>14204</v>
      </c>
    </row>
    <row r="14651" spans="1:2" x14ac:dyDescent="0.3">
      <c r="A14651" s="7" t="str">
        <f>HYPERLINK("http://www.eatonpowersource.com/products/details/102662-000","102662-000")</f>
        <v>102662-000</v>
      </c>
      <c r="B14651" s="8" t="s">
        <v>14192</v>
      </c>
    </row>
    <row r="14652" spans="1:2" x14ac:dyDescent="0.3">
      <c r="A14652" s="9" t="str">
        <f>HYPERLINK("http://www.eatonpowersource.com/products/details/102662-052","102662-052")</f>
        <v>102662-052</v>
      </c>
      <c r="B14652" s="10" t="s">
        <v>14192</v>
      </c>
    </row>
    <row r="14653" spans="1:2" x14ac:dyDescent="0.3">
      <c r="A14653" s="7" t="str">
        <f>HYPERLINK("http://www.eatonpowersource.com/products/details/102662-073","102662-073")</f>
        <v>102662-073</v>
      </c>
      <c r="B14653" s="8" t="s">
        <v>14192</v>
      </c>
    </row>
    <row r="14654" spans="1:2" x14ac:dyDescent="0.3">
      <c r="A14654" s="9" t="str">
        <f>HYPERLINK("http://www.eatonpowersource.com/products/details/102681-000","102681-000")</f>
        <v>102681-000</v>
      </c>
      <c r="B14654" s="10" t="s">
        <v>14205</v>
      </c>
    </row>
    <row r="14655" spans="1:2" x14ac:dyDescent="0.3">
      <c r="A14655" s="7" t="str">
        <f>HYPERLINK("http://www.eatonpowersource.com/products/details/102723-039","102723-039")</f>
        <v>102723-039</v>
      </c>
      <c r="B14655" s="8" t="s">
        <v>14206</v>
      </c>
    </row>
    <row r="14656" spans="1:2" x14ac:dyDescent="0.3">
      <c r="A14656" s="9" t="str">
        <f>HYPERLINK("http://www.eatonpowersource.com/products/details/102723-054","102723-054")</f>
        <v>102723-054</v>
      </c>
      <c r="B14656" s="10" t="s">
        <v>14207</v>
      </c>
    </row>
    <row r="14657" spans="1:2" x14ac:dyDescent="0.3">
      <c r="A14657" s="7" t="str">
        <f>HYPERLINK("http://www.eatonpowersource.com/products/details/102723-076","102723-076")</f>
        <v>102723-076</v>
      </c>
      <c r="B14657" s="8" t="s">
        <v>14207</v>
      </c>
    </row>
    <row r="14658" spans="1:2" x14ac:dyDescent="0.3">
      <c r="A14658" s="9" t="str">
        <f>HYPERLINK("http://www.eatonpowersource.com/products/details/102753-000","102753-000")</f>
        <v>102753-000</v>
      </c>
      <c r="B14658" s="10" t="s">
        <v>14208</v>
      </c>
    </row>
    <row r="14659" spans="1:2" x14ac:dyDescent="0.3">
      <c r="A14659" s="7" t="str">
        <f>HYPERLINK("http://www.eatonpowersource.com/products/details/102754-000","102754-000")</f>
        <v>102754-000</v>
      </c>
      <c r="B14659" s="8" t="s">
        <v>14209</v>
      </c>
    </row>
    <row r="14660" spans="1:2" x14ac:dyDescent="0.3">
      <c r="A14660" s="9" t="str">
        <f>HYPERLINK("http://www.eatonpowersource.com/products/details/102765-000","102765-000")</f>
        <v>102765-000</v>
      </c>
      <c r="B14660" s="10" t="s">
        <v>14210</v>
      </c>
    </row>
    <row r="14661" spans="1:2" x14ac:dyDescent="0.3">
      <c r="A14661" s="7" t="str">
        <f>HYPERLINK("http://www.eatonpowersource.com/products/details/102767-000","102767-000")</f>
        <v>102767-000</v>
      </c>
      <c r="B14661" s="8" t="s">
        <v>14211</v>
      </c>
    </row>
    <row r="14662" spans="1:2" x14ac:dyDescent="0.3">
      <c r="A14662" s="9" t="str">
        <f>HYPERLINK("http://www.eatonpowersource.com/products/details/102772-052","102772-052")</f>
        <v>102772-052</v>
      </c>
      <c r="B14662" s="10" t="s">
        <v>14212</v>
      </c>
    </row>
    <row r="14663" spans="1:2" x14ac:dyDescent="0.3">
      <c r="A14663" s="7" t="str">
        <f>HYPERLINK("http://www.eatonpowersource.com/products/details/102774-000","102774-000")</f>
        <v>102774-000</v>
      </c>
      <c r="B14663" s="8" t="s">
        <v>14213</v>
      </c>
    </row>
    <row r="14664" spans="1:2" x14ac:dyDescent="0.3">
      <c r="A14664" s="9" t="str">
        <f>HYPERLINK("http://www.eatonpowersource.com/products/details/102776-000","102776-000")</f>
        <v>102776-000</v>
      </c>
      <c r="B14664" s="10" t="s">
        <v>14214</v>
      </c>
    </row>
    <row r="14665" spans="1:2" x14ac:dyDescent="0.3">
      <c r="A14665" s="7" t="str">
        <f>HYPERLINK("http://www.eatonpowersource.com/products/details/102777-000","102777-000")</f>
        <v>102777-000</v>
      </c>
      <c r="B14665" s="8" t="s">
        <v>14213</v>
      </c>
    </row>
    <row r="14666" spans="1:2" x14ac:dyDescent="0.3">
      <c r="A14666" s="9" t="str">
        <f>HYPERLINK("http://www.eatonpowersource.com/products/details/102777-036","102777-036")</f>
        <v>102777-036</v>
      </c>
      <c r="B14666" s="10" t="s">
        <v>14213</v>
      </c>
    </row>
    <row r="14667" spans="1:2" x14ac:dyDescent="0.3">
      <c r="A14667" s="7" t="str">
        <f>HYPERLINK("http://www.eatonpowersource.com/products/details/102777-052","102777-052")</f>
        <v>102777-052</v>
      </c>
      <c r="B14667" s="8" t="s">
        <v>14213</v>
      </c>
    </row>
    <row r="14668" spans="1:2" x14ac:dyDescent="0.3">
      <c r="A14668" s="9" t="str">
        <f>HYPERLINK("http://www.eatonpowersource.com/products/details/102777-073","102777-073")</f>
        <v>102777-073</v>
      </c>
      <c r="B14668" s="10" t="s">
        <v>14213</v>
      </c>
    </row>
    <row r="14669" spans="1:2" x14ac:dyDescent="0.3">
      <c r="A14669" s="7" t="str">
        <f>HYPERLINK("http://www.eatonpowersource.com/products/details/102853-000","102853-000")</f>
        <v>102853-000</v>
      </c>
      <c r="B14669" s="8" t="s">
        <v>14215</v>
      </c>
    </row>
    <row r="14670" spans="1:2" x14ac:dyDescent="0.3">
      <c r="A14670" s="9" t="str">
        <f>HYPERLINK("http://www.eatonpowersource.com/products/details/102919-000","102919-000")</f>
        <v>102919-000</v>
      </c>
      <c r="B14670" s="10" t="s">
        <v>14216</v>
      </c>
    </row>
    <row r="14671" spans="1:2" x14ac:dyDescent="0.3">
      <c r="A14671" s="7" t="str">
        <f>HYPERLINK("http://www.eatonpowersource.com/products/details/102930-000","102930-000")</f>
        <v>102930-000</v>
      </c>
      <c r="B14671" s="8" t="s">
        <v>14217</v>
      </c>
    </row>
    <row r="14672" spans="1:2" x14ac:dyDescent="0.3">
      <c r="A14672" s="9" t="str">
        <f>HYPERLINK("http://www.eatonpowersource.com/products/details/102986-650","102986-650")</f>
        <v>102986-650</v>
      </c>
      <c r="B14672" s="10" t="s">
        <v>14218</v>
      </c>
    </row>
    <row r="14673" spans="1:2" x14ac:dyDescent="0.3">
      <c r="A14673" s="7" t="str">
        <f>HYPERLINK("http://www.eatonpowersource.com/products/details/103020-000","103020-000")</f>
        <v>103020-000</v>
      </c>
      <c r="B14673" s="8" t="s">
        <v>14219</v>
      </c>
    </row>
    <row r="14674" spans="1:2" x14ac:dyDescent="0.3">
      <c r="A14674" s="9" t="str">
        <f>HYPERLINK("http://www.eatonpowersource.com/products/details/103026-000","103026-000")</f>
        <v>103026-000</v>
      </c>
      <c r="B14674" s="10" t="s">
        <v>14220</v>
      </c>
    </row>
    <row r="14675" spans="1:2" x14ac:dyDescent="0.3">
      <c r="A14675" s="7" t="str">
        <f>HYPERLINK("http://www.eatonpowersource.com/products/details/103039-056","103039-056")</f>
        <v>103039-056</v>
      </c>
      <c r="B14675" s="8" t="s">
        <v>14221</v>
      </c>
    </row>
    <row r="14676" spans="1:2" x14ac:dyDescent="0.3">
      <c r="A14676" s="9" t="str">
        <f>HYPERLINK("http://www.eatonpowersource.com/products/details/103039-088","103039-088")</f>
        <v>103039-088</v>
      </c>
      <c r="B14676" s="10" t="s">
        <v>14222</v>
      </c>
    </row>
    <row r="14677" spans="1:2" x14ac:dyDescent="0.3">
      <c r="A14677" s="7" t="str">
        <f>HYPERLINK("http://www.eatonpowersource.com/products/details/103042-000","103042-000")</f>
        <v>103042-000</v>
      </c>
      <c r="B14677" s="8" t="s">
        <v>14163</v>
      </c>
    </row>
    <row r="14678" spans="1:2" x14ac:dyDescent="0.3">
      <c r="A14678" s="9" t="str">
        <f>HYPERLINK("http://www.eatonpowersource.com/products/details/103072-030","103072-030")</f>
        <v>103072-030</v>
      </c>
      <c r="B14678" s="10" t="s">
        <v>14223</v>
      </c>
    </row>
    <row r="14679" spans="1:2" x14ac:dyDescent="0.3">
      <c r="A14679" s="7" t="str">
        <f>HYPERLINK("http://www.eatonpowersource.com/products/details/103072-035","103072-035")</f>
        <v>103072-035</v>
      </c>
      <c r="B14679" s="8" t="s">
        <v>14223</v>
      </c>
    </row>
    <row r="14680" spans="1:2" x14ac:dyDescent="0.3">
      <c r="A14680" s="9" t="str">
        <f>HYPERLINK("http://www.eatonpowersource.com/products/details/103072-038","103072-038")</f>
        <v>103072-038</v>
      </c>
      <c r="B14680" s="10" t="s">
        <v>14223</v>
      </c>
    </row>
    <row r="14681" spans="1:2" x14ac:dyDescent="0.3">
      <c r="A14681" s="7" t="str">
        <f>HYPERLINK("http://www.eatonpowersource.com/products/details/103072-041","103072-041")</f>
        <v>103072-041</v>
      </c>
      <c r="B14681" s="8" t="s">
        <v>14223</v>
      </c>
    </row>
    <row r="14682" spans="1:2" x14ac:dyDescent="0.3">
      <c r="A14682" s="9" t="str">
        <f>HYPERLINK("http://www.eatonpowersource.com/products/details/103091-325","103091-325")</f>
        <v>103091-325</v>
      </c>
      <c r="B14682" s="10" t="s">
        <v>14224</v>
      </c>
    </row>
    <row r="14683" spans="1:2" x14ac:dyDescent="0.3">
      <c r="A14683" s="7" t="str">
        <f>HYPERLINK("http://www.eatonpowersource.com/products/details/103092-200","103092-200")</f>
        <v>103092-200</v>
      </c>
      <c r="B14683" s="8" t="s">
        <v>14225</v>
      </c>
    </row>
    <row r="14684" spans="1:2" x14ac:dyDescent="0.3">
      <c r="A14684" s="9" t="str">
        <f>HYPERLINK("http://www.eatonpowersource.com/products/details/103092-325","103092-325")</f>
        <v>103092-325</v>
      </c>
      <c r="B14684" s="10" t="s">
        <v>14225</v>
      </c>
    </row>
    <row r="14685" spans="1:2" x14ac:dyDescent="0.3">
      <c r="A14685" s="7" t="str">
        <f>HYPERLINK("http://www.eatonpowersource.com/products/details/103092-375","103092-375")</f>
        <v>103092-375</v>
      </c>
      <c r="B14685" s="8" t="s">
        <v>14225</v>
      </c>
    </row>
    <row r="14686" spans="1:2" x14ac:dyDescent="0.3">
      <c r="A14686" s="9" t="str">
        <f>HYPERLINK("http://www.eatonpowersource.com/products/details/103114-500","103114-500")</f>
        <v>103114-500</v>
      </c>
      <c r="B14686" s="10" t="s">
        <v>14226</v>
      </c>
    </row>
    <row r="14687" spans="1:2" x14ac:dyDescent="0.3">
      <c r="A14687" s="7" t="str">
        <f>HYPERLINK("http://www.eatonpowersource.com/products/details/103144-000","103144-000")</f>
        <v>103144-000</v>
      </c>
      <c r="B14687" s="8" t="s">
        <v>14227</v>
      </c>
    </row>
    <row r="14688" spans="1:2" x14ac:dyDescent="0.3">
      <c r="A14688" s="9" t="str">
        <f>HYPERLINK("http://www.eatonpowersource.com/products/details/103222-188","103222-188")</f>
        <v>103222-188</v>
      </c>
      <c r="B14688" s="10" t="s">
        <v>14228</v>
      </c>
    </row>
    <row r="14689" spans="1:2" x14ac:dyDescent="0.3">
      <c r="A14689" s="7" t="str">
        <f>HYPERLINK("http://www.eatonpowersource.com/products/details/103222-200","103222-200")</f>
        <v>103222-200</v>
      </c>
      <c r="B14689" s="8" t="s">
        <v>14228</v>
      </c>
    </row>
    <row r="14690" spans="1:2" x14ac:dyDescent="0.3">
      <c r="A14690" s="9" t="str">
        <f>HYPERLINK("http://www.eatonpowersource.com/products/details/103223-000","103223-000")</f>
        <v>103223-000</v>
      </c>
      <c r="B14690" s="10" t="s">
        <v>14229</v>
      </c>
    </row>
    <row r="14691" spans="1:2" x14ac:dyDescent="0.3">
      <c r="A14691" s="7" t="str">
        <f>HYPERLINK("http://www.eatonpowersource.com/products/details/103224-000","103224-000")</f>
        <v>103224-000</v>
      </c>
      <c r="B14691" s="8" t="s">
        <v>14163</v>
      </c>
    </row>
    <row r="14692" spans="1:2" x14ac:dyDescent="0.3">
      <c r="A14692" s="9" t="str">
        <f>HYPERLINK("http://www.eatonpowersource.com/products/details/103227-000","103227-000")</f>
        <v>103227-000</v>
      </c>
      <c r="B14692" s="10" t="s">
        <v>14230</v>
      </c>
    </row>
    <row r="14693" spans="1:2" x14ac:dyDescent="0.3">
      <c r="A14693" s="7" t="str">
        <f>HYPERLINK("http://www.eatonpowersource.com/products/details/103230-000","103230-000")</f>
        <v>103230-000</v>
      </c>
      <c r="B14693" s="8" t="s">
        <v>14231</v>
      </c>
    </row>
    <row r="14694" spans="1:2" x14ac:dyDescent="0.3">
      <c r="A14694" s="9" t="str">
        <f>HYPERLINK("http://www.eatonpowersource.com/products/details/103232-000","103232-000")</f>
        <v>103232-000</v>
      </c>
      <c r="B14694" s="10" t="s">
        <v>14232</v>
      </c>
    </row>
    <row r="14695" spans="1:2" x14ac:dyDescent="0.3">
      <c r="A14695" s="7" t="str">
        <f>HYPERLINK("http://www.eatonpowersource.com/products/details/103236-000","103236-000")</f>
        <v>103236-000</v>
      </c>
      <c r="B14695" s="8" t="s">
        <v>14207</v>
      </c>
    </row>
    <row r="14696" spans="1:2" x14ac:dyDescent="0.3">
      <c r="A14696" s="9" t="str">
        <f>HYPERLINK("http://www.eatonpowersource.com/products/details/103237-001","103237-001")</f>
        <v>103237-001</v>
      </c>
      <c r="B14696" s="10" t="s">
        <v>14233</v>
      </c>
    </row>
    <row r="14697" spans="1:2" x14ac:dyDescent="0.3">
      <c r="A14697" s="7" t="str">
        <f>HYPERLINK("http://www.eatonpowersource.com/products/details/103239-000","103239-000")</f>
        <v>103239-000</v>
      </c>
      <c r="B14697" s="8" t="s">
        <v>14234</v>
      </c>
    </row>
    <row r="14698" spans="1:2" x14ac:dyDescent="0.3">
      <c r="A14698" s="9" t="str">
        <f>HYPERLINK("http://www.eatonpowersource.com/products/details/103241-000","103241-000")</f>
        <v>103241-000</v>
      </c>
      <c r="B14698" s="10" t="s">
        <v>14235</v>
      </c>
    </row>
    <row r="14699" spans="1:2" x14ac:dyDescent="0.3">
      <c r="A14699" s="7" t="str">
        <f>HYPERLINK("http://www.eatonpowersource.com/products/details/103244-000","103244-000")</f>
        <v>103244-000</v>
      </c>
      <c r="B14699" s="8" t="s">
        <v>14236</v>
      </c>
    </row>
    <row r="14700" spans="1:2" x14ac:dyDescent="0.3">
      <c r="A14700" s="9" t="str">
        <f>HYPERLINK("http://www.eatonpowersource.com/products/details/103249-085","103249-085")</f>
        <v>103249-085</v>
      </c>
      <c r="B14700" s="10" t="s">
        <v>14237</v>
      </c>
    </row>
    <row r="14701" spans="1:2" x14ac:dyDescent="0.3">
      <c r="A14701" s="7" t="str">
        <f>HYPERLINK("http://www.eatonpowersource.com/products/details/103249-128","103249-128")</f>
        <v>103249-128</v>
      </c>
      <c r="B14701" s="8" t="s">
        <v>14237</v>
      </c>
    </row>
    <row r="14702" spans="1:2" x14ac:dyDescent="0.3">
      <c r="A14702" s="9" t="str">
        <f>HYPERLINK("http://www.eatonpowersource.com/products/details/103339-022","103339-022")</f>
        <v>103339-022</v>
      </c>
      <c r="B14702" s="10" t="s">
        <v>14238</v>
      </c>
    </row>
    <row r="14703" spans="1:2" x14ac:dyDescent="0.3">
      <c r="A14703" s="7" t="str">
        <f>HYPERLINK("http://www.eatonpowersource.com/products/details/103339-034","103339-034")</f>
        <v>103339-034</v>
      </c>
      <c r="B14703" s="8" t="s">
        <v>14239</v>
      </c>
    </row>
    <row r="14704" spans="1:2" x14ac:dyDescent="0.3">
      <c r="A14704" s="9" t="str">
        <f>HYPERLINK("http://www.eatonpowersource.com/products/details/103340-034","103340-034")</f>
        <v>103340-034</v>
      </c>
      <c r="B14704" s="10" t="s">
        <v>14240</v>
      </c>
    </row>
    <row r="14705" spans="1:2" x14ac:dyDescent="0.3">
      <c r="A14705" s="7" t="str">
        <f>HYPERLINK("http://www.eatonpowersource.com/products/details/103341-022","103341-022")</f>
        <v>103341-022</v>
      </c>
      <c r="B14705" s="8" t="s">
        <v>14241</v>
      </c>
    </row>
    <row r="14706" spans="1:2" x14ac:dyDescent="0.3">
      <c r="A14706" s="9" t="str">
        <f>HYPERLINK("http://www.eatonpowersource.com/products/details/103343-022","103343-022")</f>
        <v>103343-022</v>
      </c>
      <c r="B14706" s="10" t="s">
        <v>14242</v>
      </c>
    </row>
    <row r="14707" spans="1:2" x14ac:dyDescent="0.3">
      <c r="A14707" s="7" t="str">
        <f>HYPERLINK("http://www.eatonpowersource.com/products/details/103354-000","103354-000")</f>
        <v>103354-000</v>
      </c>
      <c r="B14707" s="8" t="s">
        <v>14243</v>
      </c>
    </row>
    <row r="14708" spans="1:2" x14ac:dyDescent="0.3">
      <c r="A14708" s="9" t="str">
        <f>HYPERLINK("http://www.eatonpowersource.com/products/details/103357-000","103357-000")</f>
        <v>103357-000</v>
      </c>
      <c r="B14708" s="10" t="s">
        <v>14244</v>
      </c>
    </row>
    <row r="14709" spans="1:2" x14ac:dyDescent="0.3">
      <c r="A14709" s="7" t="str">
        <f>HYPERLINK("http://www.eatonpowersource.com/products/details/103358-085","103358-085")</f>
        <v>103358-085</v>
      </c>
      <c r="B14709" s="8" t="s">
        <v>14245</v>
      </c>
    </row>
    <row r="14710" spans="1:2" x14ac:dyDescent="0.3">
      <c r="A14710" s="9" t="str">
        <f>HYPERLINK("http://www.eatonpowersource.com/products/details/103358-128","103358-128")</f>
        <v>103358-128</v>
      </c>
      <c r="B14710" s="10" t="s">
        <v>14246</v>
      </c>
    </row>
    <row r="14711" spans="1:2" x14ac:dyDescent="0.3">
      <c r="A14711" s="7" t="str">
        <f>HYPERLINK("http://www.eatonpowersource.com/products/details/103358-170","103358-170")</f>
        <v>103358-170</v>
      </c>
      <c r="B14711" s="8" t="s">
        <v>14247</v>
      </c>
    </row>
    <row r="14712" spans="1:2" x14ac:dyDescent="0.3">
      <c r="A14712" s="9" t="str">
        <f>HYPERLINK("http://www.eatonpowersource.com/products/details/103359-000","103359-000")</f>
        <v>103359-000</v>
      </c>
      <c r="B14712" s="10" t="s">
        <v>14248</v>
      </c>
    </row>
    <row r="14713" spans="1:2" x14ac:dyDescent="0.3">
      <c r="A14713" s="7" t="str">
        <f>HYPERLINK("http://www.eatonpowersource.com/products/details/103360-000","103360-000")</f>
        <v>103360-000</v>
      </c>
      <c r="B14713" s="8" t="s">
        <v>14249</v>
      </c>
    </row>
    <row r="14714" spans="1:2" x14ac:dyDescent="0.3">
      <c r="A14714" s="9" t="str">
        <f>HYPERLINK("http://www.eatonpowersource.com/products/details/103365-000","103365-000")</f>
        <v>103365-000</v>
      </c>
      <c r="B14714" s="10" t="s">
        <v>14250</v>
      </c>
    </row>
    <row r="14715" spans="1:2" x14ac:dyDescent="0.3">
      <c r="A14715" s="7" t="str">
        <f>HYPERLINK("http://www.eatonpowersource.com/products/details/103378-000","103378-000")</f>
        <v>103378-000</v>
      </c>
      <c r="B14715" s="8" t="s">
        <v>14251</v>
      </c>
    </row>
    <row r="14716" spans="1:2" x14ac:dyDescent="0.3">
      <c r="A14716" s="9" t="str">
        <f>HYPERLINK("http://www.eatonpowersource.com/products/details/103387-000","103387-000")</f>
        <v>103387-000</v>
      </c>
      <c r="B14716" s="10" t="s">
        <v>14252</v>
      </c>
    </row>
    <row r="14717" spans="1:2" x14ac:dyDescent="0.3">
      <c r="A14717" s="7" t="str">
        <f>HYPERLINK("http://www.eatonpowersource.com/products/details/103391-000","103391-000")</f>
        <v>103391-000</v>
      </c>
      <c r="B14717" s="8" t="s">
        <v>14253</v>
      </c>
    </row>
    <row r="14718" spans="1:2" x14ac:dyDescent="0.3">
      <c r="A14718" s="9" t="str">
        <f>HYPERLINK("http://www.eatonpowersource.com/products/details/103438-000","103438-000")</f>
        <v>103438-000</v>
      </c>
      <c r="B14718" s="10" t="s">
        <v>14254</v>
      </c>
    </row>
    <row r="14719" spans="1:2" x14ac:dyDescent="0.3">
      <c r="A14719" s="7" t="str">
        <f>HYPERLINK("http://www.eatonpowersource.com/products/details/103441-022","103441-022")</f>
        <v>103441-022</v>
      </c>
      <c r="B14719" s="8" t="s">
        <v>14255</v>
      </c>
    </row>
    <row r="14720" spans="1:2" x14ac:dyDescent="0.3">
      <c r="A14720" s="9" t="str">
        <f>HYPERLINK("http://www.eatonpowersource.com/products/details/103463-650","103463-650")</f>
        <v>103463-650</v>
      </c>
      <c r="B14720" s="10" t="s">
        <v>14256</v>
      </c>
    </row>
    <row r="14721" spans="1:2" x14ac:dyDescent="0.3">
      <c r="A14721" s="7" t="str">
        <f>HYPERLINK("http://www.eatonpowersource.com/products/details/103463-675","103463-675")</f>
        <v>103463-675</v>
      </c>
      <c r="B14721" s="8" t="s">
        <v>14257</v>
      </c>
    </row>
    <row r="14722" spans="1:2" x14ac:dyDescent="0.3">
      <c r="A14722" s="9" t="str">
        <f>HYPERLINK("http://www.eatonpowersource.com/products/details/103530-000","103530-000")</f>
        <v>103530-000</v>
      </c>
      <c r="B14722" s="10" t="s">
        <v>14258</v>
      </c>
    </row>
    <row r="14723" spans="1:2" x14ac:dyDescent="0.3">
      <c r="A14723" s="7" t="str">
        <f>HYPERLINK("http://www.eatonpowersource.com/products/details/103531-000","103531-000")</f>
        <v>103531-000</v>
      </c>
      <c r="B14723" s="8" t="s">
        <v>14259</v>
      </c>
    </row>
    <row r="14724" spans="1:2" x14ac:dyDescent="0.3">
      <c r="A14724" s="9" t="str">
        <f>HYPERLINK("http://www.eatonpowersource.com/products/details/103579-000","103579-000")</f>
        <v>103579-000</v>
      </c>
      <c r="B14724" s="10" t="s">
        <v>14260</v>
      </c>
    </row>
    <row r="14725" spans="1:2" x14ac:dyDescent="0.3">
      <c r="A14725" s="7" t="str">
        <f>HYPERLINK("http://www.eatonpowersource.com/products/details/103678-022","103678-022")</f>
        <v>103678-022</v>
      </c>
      <c r="B14725" s="8" t="s">
        <v>14261</v>
      </c>
    </row>
    <row r="14726" spans="1:2" x14ac:dyDescent="0.3">
      <c r="A14726" s="9" t="str">
        <f>HYPERLINK("http://www.eatonpowersource.com/products/details/103795-000","103795-000")</f>
        <v>103795-000</v>
      </c>
      <c r="B14726" s="10" t="s">
        <v>14262</v>
      </c>
    </row>
    <row r="14727" spans="1:2" x14ac:dyDescent="0.3">
      <c r="A14727" s="7" t="str">
        <f>HYPERLINK("http://www.eatonpowersource.com/products/details/103797-000","103797-000")</f>
        <v>103797-000</v>
      </c>
      <c r="B14727" s="8" t="s">
        <v>14263</v>
      </c>
    </row>
    <row r="14728" spans="1:2" x14ac:dyDescent="0.3">
      <c r="A14728" s="9" t="str">
        <f>HYPERLINK("http://www.eatonpowersource.com/products/details/103799-000","103799-000")</f>
        <v>103799-000</v>
      </c>
      <c r="B14728" s="10" t="s">
        <v>14264</v>
      </c>
    </row>
    <row r="14729" spans="1:2" x14ac:dyDescent="0.3">
      <c r="A14729" s="7" t="str">
        <f>HYPERLINK("http://www.eatonpowersource.com/products/details/103805-000","103805-000")</f>
        <v>103805-000</v>
      </c>
      <c r="B14729" s="8" t="s">
        <v>14265</v>
      </c>
    </row>
    <row r="14730" spans="1:2" x14ac:dyDescent="0.3">
      <c r="A14730" s="9" t="str">
        <f>HYPERLINK("http://www.eatonpowersource.com/products/details/103807-000","103807-000")</f>
        <v>103807-000</v>
      </c>
      <c r="B14730" s="10" t="s">
        <v>14266</v>
      </c>
    </row>
    <row r="14731" spans="1:2" x14ac:dyDescent="0.3">
      <c r="A14731" s="7" t="str">
        <f>HYPERLINK("http://www.eatonpowersource.com/products/details/103808-000","103808-000")</f>
        <v>103808-000</v>
      </c>
      <c r="B14731" s="8" t="s">
        <v>14267</v>
      </c>
    </row>
    <row r="14732" spans="1:2" x14ac:dyDescent="0.3">
      <c r="A14732" s="9" t="str">
        <f>HYPERLINK("http://www.eatonpowersource.com/products/details/103809-000","103809-000")</f>
        <v>103809-000</v>
      </c>
      <c r="B14732" s="10" t="s">
        <v>14268</v>
      </c>
    </row>
    <row r="14733" spans="1:2" x14ac:dyDescent="0.3">
      <c r="A14733" s="7" t="str">
        <f>HYPERLINK("http://www.eatonpowersource.com/products/details/103814-000","103814-000")</f>
        <v>103814-000</v>
      </c>
      <c r="B14733" s="8" t="s">
        <v>14169</v>
      </c>
    </row>
    <row r="14734" spans="1:2" x14ac:dyDescent="0.3">
      <c r="A14734" s="9" t="str">
        <f>HYPERLINK("http://www.eatonpowersource.com/products/details/103817-000","103817-000")</f>
        <v>103817-000</v>
      </c>
      <c r="B14734" s="10" t="s">
        <v>14269</v>
      </c>
    </row>
    <row r="14735" spans="1:2" x14ac:dyDescent="0.3">
      <c r="A14735" s="7" t="str">
        <f>HYPERLINK("http://www.eatonpowersource.com/products/details/103848-000","103848-000")</f>
        <v>103848-000</v>
      </c>
      <c r="B14735" s="8" t="s">
        <v>14270</v>
      </c>
    </row>
    <row r="14736" spans="1:2" x14ac:dyDescent="0.3">
      <c r="A14736" s="9" t="str">
        <f>HYPERLINK("http://www.eatonpowersource.com/products/details/103851-000","103851-000")</f>
        <v>103851-000</v>
      </c>
      <c r="B14736" s="10" t="s">
        <v>14271</v>
      </c>
    </row>
    <row r="14737" spans="1:2" x14ac:dyDescent="0.3">
      <c r="A14737" s="7" t="str">
        <f>HYPERLINK("http://www.eatonpowersource.com/products/details/103852-000","103852-000")</f>
        <v>103852-000</v>
      </c>
      <c r="B14737" s="8" t="s">
        <v>14235</v>
      </c>
    </row>
    <row r="14738" spans="1:2" x14ac:dyDescent="0.3">
      <c r="A14738" s="9" t="str">
        <f>HYPERLINK("http://www.eatonpowersource.com/products/details/103853-000","103853-000")</f>
        <v>103853-000</v>
      </c>
      <c r="B14738" s="10" t="s">
        <v>14272</v>
      </c>
    </row>
    <row r="14739" spans="1:2" x14ac:dyDescent="0.3">
      <c r="A14739" s="7" t="str">
        <f>HYPERLINK("http://www.eatonpowersource.com/products/details/103854-000","103854-000")</f>
        <v>103854-000</v>
      </c>
      <c r="B14739" s="8" t="s">
        <v>14273</v>
      </c>
    </row>
    <row r="14740" spans="1:2" x14ac:dyDescent="0.3">
      <c r="A14740" s="9" t="str">
        <f>HYPERLINK("http://www.eatonpowersource.com/products/details/103871-000","103871-000")</f>
        <v>103871-000</v>
      </c>
      <c r="B14740" s="10" t="s">
        <v>14274</v>
      </c>
    </row>
    <row r="14741" spans="1:2" x14ac:dyDescent="0.3">
      <c r="A14741" s="7" t="str">
        <f>HYPERLINK("http://www.eatonpowersource.com/products/details/103874-000","103874-000")</f>
        <v>103874-000</v>
      </c>
      <c r="B14741" s="8" t="s">
        <v>14275</v>
      </c>
    </row>
    <row r="14742" spans="1:2" x14ac:dyDescent="0.3">
      <c r="A14742" s="9" t="str">
        <f>HYPERLINK("http://www.eatonpowersource.com/products/details/103877-000","103877-000")</f>
        <v>103877-000</v>
      </c>
      <c r="B14742" s="10" t="s">
        <v>14163</v>
      </c>
    </row>
    <row r="14743" spans="1:2" x14ac:dyDescent="0.3">
      <c r="A14743" s="7" t="str">
        <f>HYPERLINK("http://www.eatonpowersource.com/products/details/103950-000","103950-000")</f>
        <v>103950-000</v>
      </c>
      <c r="B14743" s="8" t="s">
        <v>14276</v>
      </c>
    </row>
    <row r="14744" spans="1:2" x14ac:dyDescent="0.3">
      <c r="A14744" s="9" t="str">
        <f>HYPERLINK("http://www.eatonpowersource.com/products/details/104006-000","104006-000")</f>
        <v>104006-000</v>
      </c>
      <c r="B14744" s="10" t="s">
        <v>14277</v>
      </c>
    </row>
    <row r="14745" spans="1:2" x14ac:dyDescent="0.3">
      <c r="A14745" s="7" t="str">
        <f>HYPERLINK("http://www.eatonpowersource.com/products/details/104040-000","104040-000")</f>
        <v>104040-000</v>
      </c>
      <c r="B14745" s="8" t="s">
        <v>14278</v>
      </c>
    </row>
    <row r="14746" spans="1:2" x14ac:dyDescent="0.3">
      <c r="A14746" s="9" t="str">
        <f>HYPERLINK("http://www.eatonpowersource.com/products/details/104111-000","104111-000")</f>
        <v>104111-000</v>
      </c>
      <c r="B14746" s="10" t="s">
        <v>14279</v>
      </c>
    </row>
    <row r="14747" spans="1:2" x14ac:dyDescent="0.3">
      <c r="A14747" s="7" t="str">
        <f>HYPERLINK("http://www.eatonpowersource.com/products/details/104166-152","104166-152")</f>
        <v>104166-152</v>
      </c>
      <c r="B14747" s="8" t="s">
        <v>14280</v>
      </c>
    </row>
    <row r="14748" spans="1:2" x14ac:dyDescent="0.3">
      <c r="A14748" s="9" t="str">
        <f>HYPERLINK("http://www.eatonpowersource.com/products/details/104166-158","104166-158")</f>
        <v>104166-158</v>
      </c>
      <c r="B14748" s="10" t="s">
        <v>14281</v>
      </c>
    </row>
    <row r="14749" spans="1:2" x14ac:dyDescent="0.3">
      <c r="A14749" s="7" t="str">
        <f>HYPERLINK("http://www.eatonpowersource.com/products/details/104189-000","104189-000")</f>
        <v>104189-000</v>
      </c>
      <c r="B14749" s="8" t="s">
        <v>14231</v>
      </c>
    </row>
    <row r="14750" spans="1:2" x14ac:dyDescent="0.3">
      <c r="A14750" s="9" t="str">
        <f>HYPERLINK("http://www.eatonpowersource.com/products/details/104194-000","104194-000")</f>
        <v>104194-000</v>
      </c>
      <c r="B14750" s="10" t="s">
        <v>14166</v>
      </c>
    </row>
    <row r="14751" spans="1:2" x14ac:dyDescent="0.3">
      <c r="A14751" s="7" t="str">
        <f>HYPERLINK("http://www.eatonpowersource.com/products/details/104198-000","104198-000")</f>
        <v>104198-000</v>
      </c>
      <c r="B14751" s="8" t="s">
        <v>14282</v>
      </c>
    </row>
    <row r="14752" spans="1:2" x14ac:dyDescent="0.3">
      <c r="A14752" s="9" t="str">
        <f>HYPERLINK("http://www.eatonpowersource.com/products/details/104202-000","104202-000")</f>
        <v>104202-000</v>
      </c>
      <c r="B14752" s="10" t="s">
        <v>14283</v>
      </c>
    </row>
    <row r="14753" spans="1:2" x14ac:dyDescent="0.3">
      <c r="A14753" s="7" t="str">
        <f>HYPERLINK("http://www.eatonpowersource.com/products/details/104203-000","104203-000")</f>
        <v>104203-000</v>
      </c>
      <c r="B14753" s="8" t="s">
        <v>14284</v>
      </c>
    </row>
    <row r="14754" spans="1:2" x14ac:dyDescent="0.3">
      <c r="A14754" s="9" t="str">
        <f>HYPERLINK("http://www.eatonpowersource.com/products/details/104204-000","104204-000")</f>
        <v>104204-000</v>
      </c>
      <c r="B14754" s="10" t="s">
        <v>14285</v>
      </c>
    </row>
    <row r="14755" spans="1:2" x14ac:dyDescent="0.3">
      <c r="A14755" s="7" t="str">
        <f>HYPERLINK("http://www.eatonpowersource.com/products/details/104207-000","104207-000")</f>
        <v>104207-000</v>
      </c>
      <c r="B14755" s="8" t="s">
        <v>14286</v>
      </c>
    </row>
    <row r="14756" spans="1:2" x14ac:dyDescent="0.3">
      <c r="A14756" s="9" t="str">
        <f>HYPERLINK("http://www.eatonpowersource.com/products/details/104211-000","104211-000")</f>
        <v>104211-000</v>
      </c>
      <c r="B14756" s="10" t="s">
        <v>14287</v>
      </c>
    </row>
    <row r="14757" spans="1:2" x14ac:dyDescent="0.3">
      <c r="A14757" s="7" t="str">
        <f>HYPERLINK("http://www.eatonpowersource.com/products/details/104226-000","104226-000")</f>
        <v>104226-000</v>
      </c>
      <c r="B14757" s="8" t="s">
        <v>14288</v>
      </c>
    </row>
    <row r="14758" spans="1:2" x14ac:dyDescent="0.3">
      <c r="A14758" s="9" t="str">
        <f>HYPERLINK("http://www.eatonpowersource.com/products/details/104296-000","104296-000")</f>
        <v>104296-000</v>
      </c>
      <c r="B14758" s="10" t="s">
        <v>14289</v>
      </c>
    </row>
    <row r="14759" spans="1:2" x14ac:dyDescent="0.3">
      <c r="A14759" s="7" t="str">
        <f>HYPERLINK("http://www.eatonpowersource.com/products/details/104297-000","104297-000")</f>
        <v>104297-000</v>
      </c>
      <c r="B14759" s="8" t="s">
        <v>14290</v>
      </c>
    </row>
    <row r="14760" spans="1:2" x14ac:dyDescent="0.3">
      <c r="A14760" s="9" t="str">
        <f>HYPERLINK("http://www.eatonpowersource.com/products/details/104306-000","104306-000")</f>
        <v>104306-000</v>
      </c>
      <c r="B14760" s="10" t="s">
        <v>14291</v>
      </c>
    </row>
    <row r="14761" spans="1:2" x14ac:dyDescent="0.3">
      <c r="A14761" s="7" t="str">
        <f>HYPERLINK("http://www.eatonpowersource.com/products/details/104322-000","104322-000")</f>
        <v>104322-000</v>
      </c>
      <c r="B14761" s="8" t="s">
        <v>14292</v>
      </c>
    </row>
    <row r="14762" spans="1:2" x14ac:dyDescent="0.3">
      <c r="A14762" s="9" t="str">
        <f>HYPERLINK("http://www.eatonpowersource.com/products/details/104378-000","104378-000")</f>
        <v>104378-000</v>
      </c>
      <c r="B14762" s="10" t="s">
        <v>14293</v>
      </c>
    </row>
    <row r="14763" spans="1:2" x14ac:dyDescent="0.3">
      <c r="A14763" s="7" t="str">
        <f>HYPERLINK("http://www.eatonpowersource.com/products/details/104401-000","104401-000")</f>
        <v>104401-000</v>
      </c>
      <c r="B14763" s="8" t="s">
        <v>14294</v>
      </c>
    </row>
    <row r="14764" spans="1:2" x14ac:dyDescent="0.3">
      <c r="A14764" s="9" t="str">
        <f>HYPERLINK("http://www.eatonpowersource.com/products/details/104433-000","104433-000")</f>
        <v>104433-000</v>
      </c>
      <c r="B14764" s="10" t="s">
        <v>14295</v>
      </c>
    </row>
    <row r="14765" spans="1:2" x14ac:dyDescent="0.3">
      <c r="A14765" s="7" t="str">
        <f>HYPERLINK("http://www.eatonpowersource.com/products/details/104463-000","104463-000")</f>
        <v>104463-000</v>
      </c>
      <c r="B14765" s="8" t="s">
        <v>14296</v>
      </c>
    </row>
    <row r="14766" spans="1:2" x14ac:dyDescent="0.3">
      <c r="A14766" s="9" t="str">
        <f>HYPERLINK("http://www.eatonpowersource.com/products/details/104490-000","104490-000")</f>
        <v>104490-000</v>
      </c>
      <c r="B14766" s="10" t="s">
        <v>14297</v>
      </c>
    </row>
    <row r="14767" spans="1:2" x14ac:dyDescent="0.3">
      <c r="A14767" s="7" t="str">
        <f>HYPERLINK("http://www.eatonpowersource.com/products/details/104491-000","104491-000")</f>
        <v>104491-000</v>
      </c>
      <c r="B14767" s="8" t="s">
        <v>14298</v>
      </c>
    </row>
    <row r="14768" spans="1:2" x14ac:dyDescent="0.3">
      <c r="A14768" s="9" t="str">
        <f>HYPERLINK("http://www.eatonpowersource.com/products/details/104503-000","104503-000")</f>
        <v>104503-000</v>
      </c>
      <c r="B14768" s="10" t="s">
        <v>14299</v>
      </c>
    </row>
    <row r="14769" spans="1:2" x14ac:dyDescent="0.3">
      <c r="A14769" s="7" t="str">
        <f>HYPERLINK("http://www.eatonpowersource.com/products/details/104508-005","104508-005")</f>
        <v>104508-005</v>
      </c>
      <c r="B14769" s="8" t="s">
        <v>14227</v>
      </c>
    </row>
    <row r="14770" spans="1:2" x14ac:dyDescent="0.3">
      <c r="A14770" s="9" t="str">
        <f>HYPERLINK("http://www.eatonpowersource.com/products/details/104508-007","104508-007")</f>
        <v>104508-007</v>
      </c>
      <c r="B14770" s="10" t="s">
        <v>14227</v>
      </c>
    </row>
    <row r="14771" spans="1:2" x14ac:dyDescent="0.3">
      <c r="A14771" s="7" t="str">
        <f>HYPERLINK("http://www.eatonpowersource.com/products/details/104509-000","104509-000")</f>
        <v>104509-000</v>
      </c>
      <c r="B14771" s="8" t="s">
        <v>14300</v>
      </c>
    </row>
    <row r="14772" spans="1:2" x14ac:dyDescent="0.3">
      <c r="A14772" s="9" t="str">
        <f>HYPERLINK("http://www.eatonpowersource.com/products/details/104511-450","104511-450")</f>
        <v>104511-450</v>
      </c>
      <c r="B14772" s="10" t="s">
        <v>14301</v>
      </c>
    </row>
    <row r="14773" spans="1:2" x14ac:dyDescent="0.3">
      <c r="A14773" s="7" t="str">
        <f>HYPERLINK("http://www.eatonpowersource.com/products/details/104564-000","104564-000")</f>
        <v>104564-000</v>
      </c>
      <c r="B14773" s="8" t="s">
        <v>14302</v>
      </c>
    </row>
    <row r="14774" spans="1:2" x14ac:dyDescent="0.3">
      <c r="A14774" s="9" t="str">
        <f>HYPERLINK("http://www.eatonpowersource.com/products/details/104586-000","104586-000")</f>
        <v>104586-000</v>
      </c>
      <c r="B14774" s="10" t="s">
        <v>14303</v>
      </c>
    </row>
    <row r="14775" spans="1:2" x14ac:dyDescent="0.3">
      <c r="A14775" s="7" t="str">
        <f>HYPERLINK("http://www.eatonpowersource.com/products/details/104635-000","104635-000")</f>
        <v>104635-000</v>
      </c>
      <c r="B14775" s="8" t="s">
        <v>14304</v>
      </c>
    </row>
    <row r="14776" spans="1:2" x14ac:dyDescent="0.3">
      <c r="A14776" s="9" t="str">
        <f>HYPERLINK("http://www.eatonpowersource.com/products/details/104657-000","104657-000")</f>
        <v>104657-000</v>
      </c>
      <c r="B14776" s="10" t="s">
        <v>14304</v>
      </c>
    </row>
    <row r="14777" spans="1:2" x14ac:dyDescent="0.3">
      <c r="A14777" s="7" t="str">
        <f>HYPERLINK("http://www.eatonpowersource.com/products/details/104671-000","104671-000")</f>
        <v>104671-000</v>
      </c>
      <c r="B14777" s="8" t="s">
        <v>14305</v>
      </c>
    </row>
    <row r="14778" spans="1:2" x14ac:dyDescent="0.3">
      <c r="A14778" s="9" t="str">
        <f>HYPERLINK("http://www.eatonpowersource.com/products/details/104713-000","104713-000")</f>
        <v>104713-000</v>
      </c>
      <c r="B14778" s="10" t="s">
        <v>14306</v>
      </c>
    </row>
    <row r="14779" spans="1:2" x14ac:dyDescent="0.3">
      <c r="A14779" s="7" t="str">
        <f>HYPERLINK("http://www.eatonpowersource.com/products/details/104728-000","104728-000")</f>
        <v>104728-000</v>
      </c>
      <c r="B14779" s="8" t="s">
        <v>14307</v>
      </c>
    </row>
    <row r="14780" spans="1:2" x14ac:dyDescent="0.3">
      <c r="A14780" s="9" t="str">
        <f>HYPERLINK("http://www.eatonpowersource.com/products/details/104856-000","104856-000")</f>
        <v>104856-000</v>
      </c>
      <c r="B14780" s="10" t="s">
        <v>14308</v>
      </c>
    </row>
    <row r="14781" spans="1:2" x14ac:dyDescent="0.3">
      <c r="A14781" s="7" t="str">
        <f>HYPERLINK("http://www.eatonpowersource.com/products/details/104871-000","104871-000")</f>
        <v>104871-000</v>
      </c>
      <c r="B14781" s="8" t="s">
        <v>14309</v>
      </c>
    </row>
    <row r="14782" spans="1:2" x14ac:dyDescent="0.3">
      <c r="A14782" s="9" t="str">
        <f>HYPERLINK("http://www.eatonpowersource.com/products/details/104897-000","104897-000")</f>
        <v>104897-000</v>
      </c>
      <c r="B14782" s="10" t="s">
        <v>14310</v>
      </c>
    </row>
    <row r="14783" spans="1:2" x14ac:dyDescent="0.3">
      <c r="A14783" s="7" t="str">
        <f>HYPERLINK("http://www.eatonpowersource.com/products/details/104933-000","104933-000")</f>
        <v>104933-000</v>
      </c>
      <c r="B14783" s="8" t="s">
        <v>14311</v>
      </c>
    </row>
    <row r="14784" spans="1:2" x14ac:dyDescent="0.3">
      <c r="A14784" s="9" t="str">
        <f>HYPERLINK("http://www.eatonpowersource.com/products/details/104954-000","104954-000")</f>
        <v>104954-000</v>
      </c>
      <c r="B14784" s="10" t="s">
        <v>14312</v>
      </c>
    </row>
    <row r="14785" spans="1:2" x14ac:dyDescent="0.3">
      <c r="A14785" s="7" t="str">
        <f>HYPERLINK("http://www.eatonpowersource.com/products/details/104961-000","104961-000")</f>
        <v>104961-000</v>
      </c>
      <c r="B14785" s="8" t="s">
        <v>14313</v>
      </c>
    </row>
    <row r="14786" spans="1:2" x14ac:dyDescent="0.3">
      <c r="A14786" s="9" t="str">
        <f>HYPERLINK("http://www.eatonpowersource.com/products/details/104963-000","104963-000")</f>
        <v>104963-000</v>
      </c>
      <c r="B14786" s="10" t="s">
        <v>14314</v>
      </c>
    </row>
    <row r="14787" spans="1:2" x14ac:dyDescent="0.3">
      <c r="A14787" s="7" t="str">
        <f>HYPERLINK("http://www.eatonpowersource.com/products/details/104974-000","104974-000")</f>
        <v>104974-000</v>
      </c>
      <c r="B14787" s="8" t="s">
        <v>14315</v>
      </c>
    </row>
    <row r="14788" spans="1:2" x14ac:dyDescent="0.3">
      <c r="A14788" s="9" t="str">
        <f>HYPERLINK("http://www.eatonpowersource.com/products/details/104978-000","104978-000")</f>
        <v>104978-000</v>
      </c>
      <c r="B14788" s="10" t="s">
        <v>14316</v>
      </c>
    </row>
    <row r="14789" spans="1:2" x14ac:dyDescent="0.3">
      <c r="A14789" s="7" t="str">
        <f>HYPERLINK("http://www.eatonpowersource.com/products/details/105013-022","105013-022")</f>
        <v>105013-022</v>
      </c>
      <c r="B14789" s="8" t="s">
        <v>14317</v>
      </c>
    </row>
    <row r="14790" spans="1:2" x14ac:dyDescent="0.3">
      <c r="A14790" s="9" t="str">
        <f>HYPERLINK("http://www.eatonpowersource.com/products/details/105050-000","105050-000")</f>
        <v>105050-000</v>
      </c>
      <c r="B14790" s="10" t="s">
        <v>14318</v>
      </c>
    </row>
    <row r="14791" spans="1:2" x14ac:dyDescent="0.3">
      <c r="A14791" s="7" t="str">
        <f>HYPERLINK("http://www.eatonpowersource.com/products/details/105056-000","105056-000")</f>
        <v>105056-000</v>
      </c>
      <c r="B14791" s="8" t="s">
        <v>14293</v>
      </c>
    </row>
    <row r="14792" spans="1:2" x14ac:dyDescent="0.3">
      <c r="A14792" s="9" t="str">
        <f>HYPERLINK("http://www.eatonpowersource.com/products/details/105058-000","105058-000")</f>
        <v>105058-000</v>
      </c>
      <c r="B14792" s="10" t="s">
        <v>14312</v>
      </c>
    </row>
    <row r="14793" spans="1:2" x14ac:dyDescent="0.3">
      <c r="A14793" s="7" t="str">
        <f>HYPERLINK("http://www.eatonpowersource.com/products/details/105061-000","105061-000")</f>
        <v>105061-000</v>
      </c>
      <c r="B14793" s="8" t="s">
        <v>14319</v>
      </c>
    </row>
    <row r="14794" spans="1:2" x14ac:dyDescent="0.3">
      <c r="A14794" s="9" t="str">
        <f>HYPERLINK("http://www.eatonpowersource.com/products/details/105064-000","105064-000")</f>
        <v>105064-000</v>
      </c>
      <c r="B14794" s="10" t="s">
        <v>14311</v>
      </c>
    </row>
    <row r="14795" spans="1:2" x14ac:dyDescent="0.3">
      <c r="A14795" s="7" t="str">
        <f>HYPERLINK("http://www.eatonpowersource.com/products/details/105068-000","105068-000")</f>
        <v>105068-000</v>
      </c>
      <c r="B14795" s="8" t="s">
        <v>14320</v>
      </c>
    </row>
    <row r="14796" spans="1:2" x14ac:dyDescent="0.3">
      <c r="A14796" s="9" t="str">
        <f>HYPERLINK("http://www.eatonpowersource.com/products/details/105070-000","105070-000")</f>
        <v>105070-000</v>
      </c>
      <c r="B14796" s="10" t="s">
        <v>14321</v>
      </c>
    </row>
    <row r="14797" spans="1:2" x14ac:dyDescent="0.3">
      <c r="A14797" s="7" t="str">
        <f>HYPERLINK("http://www.eatonpowersource.com/products/details/105072-000","105072-000")</f>
        <v>105072-000</v>
      </c>
      <c r="B14797" s="8" t="s">
        <v>14318</v>
      </c>
    </row>
    <row r="14798" spans="1:2" x14ac:dyDescent="0.3">
      <c r="A14798" s="9" t="str">
        <f>HYPERLINK("http://www.eatonpowersource.com/products/details/105074-000","105074-000")</f>
        <v>105074-000</v>
      </c>
      <c r="B14798" s="10" t="s">
        <v>14318</v>
      </c>
    </row>
    <row r="14799" spans="1:2" x14ac:dyDescent="0.3">
      <c r="A14799" s="7" t="str">
        <f>HYPERLINK("http://www.eatonpowersource.com/products/details/105080-000","105080-000")</f>
        <v>105080-000</v>
      </c>
      <c r="B14799" s="8" t="s">
        <v>14322</v>
      </c>
    </row>
    <row r="14800" spans="1:2" x14ac:dyDescent="0.3">
      <c r="A14800" s="9" t="str">
        <f>HYPERLINK("http://www.eatonpowersource.com/products/details/105095-000","105095-000")</f>
        <v>105095-000</v>
      </c>
      <c r="B14800" s="10" t="s">
        <v>14323</v>
      </c>
    </row>
    <row r="14801" spans="1:2" x14ac:dyDescent="0.3">
      <c r="A14801" s="7" t="str">
        <f>HYPERLINK("http://www.eatonpowersource.com/products/details/105096-000","105096-000")</f>
        <v>105096-000</v>
      </c>
      <c r="B14801" s="8" t="s">
        <v>14324</v>
      </c>
    </row>
    <row r="14802" spans="1:2" x14ac:dyDescent="0.3">
      <c r="A14802" s="9" t="str">
        <f>HYPERLINK("http://www.eatonpowersource.com/products/details/105097-000","105097-000")</f>
        <v>105097-000</v>
      </c>
      <c r="B14802" s="10" t="s">
        <v>14315</v>
      </c>
    </row>
    <row r="14803" spans="1:2" x14ac:dyDescent="0.3">
      <c r="A14803" s="7" t="str">
        <f>HYPERLINK("http://www.eatonpowersource.com/products/details/105098-000","105098-000")</f>
        <v>105098-000</v>
      </c>
      <c r="B14803" s="8" t="s">
        <v>14316</v>
      </c>
    </row>
    <row r="14804" spans="1:2" x14ac:dyDescent="0.3">
      <c r="A14804" s="9" t="str">
        <f>HYPERLINK("http://www.eatonpowersource.com/products/details/105099-000","105099-000")</f>
        <v>105099-000</v>
      </c>
      <c r="B14804" s="10" t="s">
        <v>14231</v>
      </c>
    </row>
    <row r="14805" spans="1:2" x14ac:dyDescent="0.3">
      <c r="A14805" s="7" t="str">
        <f>HYPERLINK("http://www.eatonpowersource.com/products/details/105100-000","105100-000")</f>
        <v>105100-000</v>
      </c>
      <c r="B14805" s="8" t="s">
        <v>14325</v>
      </c>
    </row>
    <row r="14806" spans="1:2" x14ac:dyDescent="0.3">
      <c r="A14806" s="9" t="str">
        <f>HYPERLINK("http://www.eatonpowersource.com/products/details/105101-000","105101-000")</f>
        <v>105101-000</v>
      </c>
      <c r="B14806" s="10" t="s">
        <v>14326</v>
      </c>
    </row>
    <row r="14807" spans="1:2" x14ac:dyDescent="0.3">
      <c r="A14807" s="7" t="str">
        <f>HYPERLINK("http://www.eatonpowersource.com/products/details/105102-000","105102-000")</f>
        <v>105102-000</v>
      </c>
      <c r="B14807" s="8" t="s">
        <v>14315</v>
      </c>
    </row>
    <row r="14808" spans="1:2" x14ac:dyDescent="0.3">
      <c r="A14808" s="9" t="str">
        <f>HYPERLINK("http://www.eatonpowersource.com/products/details/105103-000","105103-000")</f>
        <v>105103-000</v>
      </c>
      <c r="B14808" s="10" t="s">
        <v>14308</v>
      </c>
    </row>
    <row r="14809" spans="1:2" x14ac:dyDescent="0.3">
      <c r="A14809" s="7" t="str">
        <f>HYPERLINK("http://www.eatonpowersource.com/products/details/105104-000","105104-000")</f>
        <v>105104-000</v>
      </c>
      <c r="B14809" s="8" t="s">
        <v>14231</v>
      </c>
    </row>
    <row r="14810" spans="1:2" x14ac:dyDescent="0.3">
      <c r="A14810" s="9" t="str">
        <f>HYPERLINK("http://www.eatonpowersource.com/products/details/105106-002","105106-002")</f>
        <v>105106-002</v>
      </c>
      <c r="B14810" s="10" t="s">
        <v>14327</v>
      </c>
    </row>
    <row r="14811" spans="1:2" x14ac:dyDescent="0.3">
      <c r="A14811" s="7" t="str">
        <f>HYPERLINK("http://www.eatonpowersource.com/products/details/105167-000","105167-000")</f>
        <v>105167-000</v>
      </c>
      <c r="B14811" s="8" t="s">
        <v>14328</v>
      </c>
    </row>
    <row r="14812" spans="1:2" x14ac:dyDescent="0.3">
      <c r="A14812" s="9" t="str">
        <f>HYPERLINK("http://www.eatonpowersource.com/products/details/105170-000","105170-000")</f>
        <v>105170-000</v>
      </c>
      <c r="B14812" s="10" t="s">
        <v>14329</v>
      </c>
    </row>
    <row r="14813" spans="1:2" x14ac:dyDescent="0.3">
      <c r="A14813" s="7" t="str">
        <f>HYPERLINK("http://www.eatonpowersource.com/products/details/105177-000","105177-000")</f>
        <v>105177-000</v>
      </c>
      <c r="B14813" s="8" t="s">
        <v>14330</v>
      </c>
    </row>
    <row r="14814" spans="1:2" x14ac:dyDescent="0.3">
      <c r="A14814" s="9" t="str">
        <f>HYPERLINK("http://www.eatonpowersource.com/products/details/105186-000","105186-000")</f>
        <v>105186-000</v>
      </c>
      <c r="B14814" s="10" t="s">
        <v>14315</v>
      </c>
    </row>
    <row r="14815" spans="1:2" x14ac:dyDescent="0.3">
      <c r="A14815" s="7" t="str">
        <f>HYPERLINK("http://www.eatonpowersource.com/products/details/105200-000","105200-000")</f>
        <v>105200-000</v>
      </c>
      <c r="B14815" s="8" t="s">
        <v>14331</v>
      </c>
    </row>
    <row r="14816" spans="1:2" x14ac:dyDescent="0.3">
      <c r="A14816" s="9" t="str">
        <f>HYPERLINK("http://www.eatonpowersource.com/products/details/105212-000","105212-000")</f>
        <v>105212-000</v>
      </c>
      <c r="B14816" s="10" t="s">
        <v>14332</v>
      </c>
    </row>
    <row r="14817" spans="1:2" x14ac:dyDescent="0.3">
      <c r="A14817" s="7" t="str">
        <f>HYPERLINK("http://www.eatonpowersource.com/products/details/105225-022","105225-022")</f>
        <v>105225-022</v>
      </c>
      <c r="B14817" s="8" t="s">
        <v>14333</v>
      </c>
    </row>
    <row r="14818" spans="1:2" x14ac:dyDescent="0.3">
      <c r="A14818" s="9" t="str">
        <f>HYPERLINK("http://www.eatonpowersource.com/products/details/105553-034","105553-034")</f>
        <v>105553-034</v>
      </c>
      <c r="B14818" s="10" t="s">
        <v>14334</v>
      </c>
    </row>
    <row r="14819" spans="1:2" x14ac:dyDescent="0.3">
      <c r="A14819" s="7" t="str">
        <f>HYPERLINK("http://www.eatonpowersource.com/products/details/105565-000","105565-000")</f>
        <v>105565-000</v>
      </c>
      <c r="B14819" s="8" t="s">
        <v>14335</v>
      </c>
    </row>
    <row r="14820" spans="1:2" x14ac:dyDescent="0.3">
      <c r="A14820" s="9" t="str">
        <f>HYPERLINK("http://www.eatonpowersource.com/products/details/105636-000","105636-000")</f>
        <v>105636-000</v>
      </c>
      <c r="B14820" s="10" t="s">
        <v>14336</v>
      </c>
    </row>
    <row r="14821" spans="1:2" x14ac:dyDescent="0.3">
      <c r="A14821" s="7" t="str">
        <f>HYPERLINK("http://www.eatonpowersource.com/products/details/105713-000","105713-000")</f>
        <v>105713-000</v>
      </c>
      <c r="B14821" s="8" t="s">
        <v>14337</v>
      </c>
    </row>
    <row r="14822" spans="1:2" x14ac:dyDescent="0.3">
      <c r="A14822" s="9" t="str">
        <f>HYPERLINK("http://www.eatonpowersource.com/products/details/105865-000","105865-000")</f>
        <v>105865-000</v>
      </c>
      <c r="B14822" s="10" t="s">
        <v>14338</v>
      </c>
    </row>
    <row r="14823" spans="1:2" x14ac:dyDescent="0.3">
      <c r="A14823" s="7" t="str">
        <f>HYPERLINK("http://www.eatonpowersource.com/products/details/105914-000","105914-000")</f>
        <v>105914-000</v>
      </c>
      <c r="B14823" s="8" t="s">
        <v>14312</v>
      </c>
    </row>
    <row r="14824" spans="1:2" x14ac:dyDescent="0.3">
      <c r="A14824" s="9" t="str">
        <f>HYPERLINK("http://www.eatonpowersource.com/products/details/105940-500","105940-500")</f>
        <v>105940-500</v>
      </c>
      <c r="B14824" s="10" t="s">
        <v>14339</v>
      </c>
    </row>
    <row r="14825" spans="1:2" x14ac:dyDescent="0.3">
      <c r="A14825" s="7" t="str">
        <f>HYPERLINK("http://www.eatonpowersource.com/products/details/106014-000","106014-000")</f>
        <v>106014-000</v>
      </c>
      <c r="B14825" s="8" t="s">
        <v>14340</v>
      </c>
    </row>
    <row r="14826" spans="1:2" x14ac:dyDescent="0.3">
      <c r="A14826" s="9" t="str">
        <f>HYPERLINK("http://www.eatonpowersource.com/products/details/106015-000","106015-000")</f>
        <v>106015-000</v>
      </c>
      <c r="B14826" s="10" t="s">
        <v>14341</v>
      </c>
    </row>
    <row r="14827" spans="1:2" x14ac:dyDescent="0.3">
      <c r="A14827" s="7" t="str">
        <f>HYPERLINK("http://www.eatonpowersource.com/products/details/106016-000","106016-000")</f>
        <v>106016-000</v>
      </c>
      <c r="B14827" s="8" t="s">
        <v>14342</v>
      </c>
    </row>
    <row r="14828" spans="1:2" x14ac:dyDescent="0.3">
      <c r="A14828" s="9" t="str">
        <f>HYPERLINK("http://www.eatonpowersource.com/products/details/106017-000","106017-000")</f>
        <v>106017-000</v>
      </c>
      <c r="B14828" s="10" t="s">
        <v>14343</v>
      </c>
    </row>
    <row r="14829" spans="1:2" x14ac:dyDescent="0.3">
      <c r="A14829" s="7" t="str">
        <f>HYPERLINK("http://www.eatonpowersource.com/products/details/106121-550","106121-550")</f>
        <v>106121-550</v>
      </c>
      <c r="B14829" s="8" t="s">
        <v>14344</v>
      </c>
    </row>
    <row r="14830" spans="1:2" x14ac:dyDescent="0.3">
      <c r="A14830" s="9" t="str">
        <f>HYPERLINK("http://www.eatonpowersource.com/products/details/106240-000","106240-000")</f>
        <v>106240-000</v>
      </c>
      <c r="B14830" s="10" t="s">
        <v>14345</v>
      </c>
    </row>
    <row r="14831" spans="1:2" x14ac:dyDescent="0.3">
      <c r="A14831" s="7" t="str">
        <f>HYPERLINK("http://www.eatonpowersource.com/products/details/106241-000","106241-000")</f>
        <v>106241-000</v>
      </c>
      <c r="B14831" s="8" t="s">
        <v>14346</v>
      </c>
    </row>
    <row r="14832" spans="1:2" x14ac:dyDescent="0.3">
      <c r="A14832" s="9" t="str">
        <f>HYPERLINK("http://www.eatonpowersource.com/products/details/106354-000","106354-000")</f>
        <v>106354-000</v>
      </c>
      <c r="B14832" s="10" t="s">
        <v>14347</v>
      </c>
    </row>
    <row r="14833" spans="1:2" x14ac:dyDescent="0.3">
      <c r="A14833" s="7" t="str">
        <f>HYPERLINK("http://www.eatonpowersource.com/products/details/106456-000","106456-000")</f>
        <v>106456-000</v>
      </c>
      <c r="B14833" s="8" t="s">
        <v>14348</v>
      </c>
    </row>
    <row r="14834" spans="1:2" x14ac:dyDescent="0.3">
      <c r="A14834" s="9" t="str">
        <f>HYPERLINK("http://www.eatonpowersource.com/products/details/106506-003","106506-003")</f>
        <v>106506-003</v>
      </c>
      <c r="B14834" s="10" t="s">
        <v>14349</v>
      </c>
    </row>
    <row r="14835" spans="1:2" x14ac:dyDescent="0.3">
      <c r="A14835" s="7" t="str">
        <f>HYPERLINK("http://www.eatonpowersource.com/products/details/106506-005","106506-005")</f>
        <v>106506-005</v>
      </c>
      <c r="B14835" s="8" t="s">
        <v>14349</v>
      </c>
    </row>
    <row r="14836" spans="1:2" x14ac:dyDescent="0.3">
      <c r="A14836" s="9" t="str">
        <f>HYPERLINK("http://www.eatonpowersource.com/products/details/106506-010","106506-010")</f>
        <v>106506-010</v>
      </c>
      <c r="B14836" s="10" t="s">
        <v>14349</v>
      </c>
    </row>
    <row r="14837" spans="1:2" x14ac:dyDescent="0.3">
      <c r="A14837" s="7" t="str">
        <f>HYPERLINK("http://www.eatonpowersource.com/products/details/106506-015","106506-015")</f>
        <v>106506-015</v>
      </c>
      <c r="B14837" s="8" t="s">
        <v>14349</v>
      </c>
    </row>
    <row r="14838" spans="1:2" x14ac:dyDescent="0.3">
      <c r="A14838" s="9" t="str">
        <f>HYPERLINK("http://www.eatonpowersource.com/products/details/106506-020","106506-020")</f>
        <v>106506-020</v>
      </c>
      <c r="B14838" s="10" t="s">
        <v>14349</v>
      </c>
    </row>
    <row r="14839" spans="1:2" x14ac:dyDescent="0.3">
      <c r="A14839" s="7" t="str">
        <f>HYPERLINK("http://www.eatonpowersource.com/products/details/106506-030","106506-030")</f>
        <v>106506-030</v>
      </c>
      <c r="B14839" s="8" t="s">
        <v>14349</v>
      </c>
    </row>
    <row r="14840" spans="1:2" x14ac:dyDescent="0.3">
      <c r="A14840" s="9" t="str">
        <f>HYPERLINK("http://www.eatonpowersource.com/products/details/106524-000","106524-000")</f>
        <v>106524-000</v>
      </c>
      <c r="B14840" s="10" t="s">
        <v>14350</v>
      </c>
    </row>
    <row r="14841" spans="1:2" x14ac:dyDescent="0.3">
      <c r="A14841" s="7" t="str">
        <f>HYPERLINK("http://www.eatonpowersource.com/products/details/106559-000","106559-000")</f>
        <v>106559-000</v>
      </c>
      <c r="B14841" s="8" t="s">
        <v>14305</v>
      </c>
    </row>
    <row r="14842" spans="1:2" x14ac:dyDescent="0.3">
      <c r="A14842" s="9" t="str">
        <f>HYPERLINK("http://www.eatonpowersource.com/products/details/106607-000","106607-000")</f>
        <v>106607-000</v>
      </c>
      <c r="B14842" s="10" t="s">
        <v>14351</v>
      </c>
    </row>
    <row r="14843" spans="1:2" x14ac:dyDescent="0.3">
      <c r="A14843" s="7" t="str">
        <f>HYPERLINK("http://www.eatonpowersource.com/products/details/106609-000","106609-000")</f>
        <v>106609-000</v>
      </c>
      <c r="B14843" s="8" t="s">
        <v>14352</v>
      </c>
    </row>
    <row r="14844" spans="1:2" x14ac:dyDescent="0.3">
      <c r="A14844" s="9" t="str">
        <f>HYPERLINK("http://www.eatonpowersource.com/products/details/106807-000","106807-000")</f>
        <v>106807-000</v>
      </c>
      <c r="B14844" s="10" t="s">
        <v>14166</v>
      </c>
    </row>
    <row r="14845" spans="1:2" x14ac:dyDescent="0.3">
      <c r="A14845" s="7" t="str">
        <f>HYPERLINK("http://www.eatonpowersource.com/products/details/106980-000","106980-000")</f>
        <v>106980-000</v>
      </c>
      <c r="B14845" s="8" t="s">
        <v>14312</v>
      </c>
    </row>
    <row r="14846" spans="1:2" x14ac:dyDescent="0.3">
      <c r="A14846" s="9" t="str">
        <f>HYPERLINK("http://www.eatonpowersource.com/products/details/107000-000","107000-000")</f>
        <v>107000-000</v>
      </c>
      <c r="B14846" s="10" t="s">
        <v>14353</v>
      </c>
    </row>
    <row r="14847" spans="1:2" x14ac:dyDescent="0.3">
      <c r="A14847" s="7" t="str">
        <f>HYPERLINK("http://www.eatonpowersource.com/products/details/107018-000","107018-000")</f>
        <v>107018-000</v>
      </c>
      <c r="B14847" s="8" t="s">
        <v>14354</v>
      </c>
    </row>
    <row r="14848" spans="1:2" x14ac:dyDescent="0.3">
      <c r="A14848" s="9" t="str">
        <f>HYPERLINK("http://www.eatonpowersource.com/products/details/107049-000","107049-000")</f>
        <v>107049-000</v>
      </c>
      <c r="B14848" s="10" t="s">
        <v>14355</v>
      </c>
    </row>
    <row r="14849" spans="1:2" x14ac:dyDescent="0.3">
      <c r="A14849" s="7" t="str">
        <f>HYPERLINK("http://www.eatonpowersource.com/products/details/107143-000","107143-000")</f>
        <v>107143-000</v>
      </c>
      <c r="B14849" s="8" t="s">
        <v>14356</v>
      </c>
    </row>
    <row r="14850" spans="1:2" x14ac:dyDescent="0.3">
      <c r="A14850" s="9" t="str">
        <f>HYPERLINK("http://www.eatonpowersource.com/products/details/107150-500","107150-500")</f>
        <v>107150-500</v>
      </c>
      <c r="B14850" s="10" t="s">
        <v>14339</v>
      </c>
    </row>
    <row r="14851" spans="1:2" x14ac:dyDescent="0.3">
      <c r="A14851" s="7" t="str">
        <f>HYPERLINK("http://www.eatonpowersource.com/products/details/107150-600","107150-600")</f>
        <v>107150-600</v>
      </c>
      <c r="B14851" s="8" t="s">
        <v>14339</v>
      </c>
    </row>
    <row r="14852" spans="1:2" x14ac:dyDescent="0.3">
      <c r="A14852" s="9" t="str">
        <f>HYPERLINK("http://www.eatonpowersource.com/products/details/107161-028","107161-028")</f>
        <v>107161-028</v>
      </c>
      <c r="B14852" s="10" t="s">
        <v>14357</v>
      </c>
    </row>
    <row r="14853" spans="1:2" x14ac:dyDescent="0.3">
      <c r="A14853" s="7" t="str">
        <f>HYPERLINK("http://www.eatonpowersource.com/products/details/107224-000","107224-000")</f>
        <v>107224-000</v>
      </c>
      <c r="B14853" s="8" t="s">
        <v>14358</v>
      </c>
    </row>
    <row r="14854" spans="1:2" x14ac:dyDescent="0.3">
      <c r="A14854" s="9" t="str">
        <f>HYPERLINK("http://www.eatonpowersource.com/products/details/107575-000","107575-000")</f>
        <v>107575-000</v>
      </c>
      <c r="B14854" s="10" t="s">
        <v>14359</v>
      </c>
    </row>
    <row r="14855" spans="1:2" x14ac:dyDescent="0.3">
      <c r="A14855" s="7" t="str">
        <f>HYPERLINK("http://www.eatonpowersource.com/products/details/107709-044","107709-044")</f>
        <v>107709-044</v>
      </c>
      <c r="B14855" s="8" t="s">
        <v>14213</v>
      </c>
    </row>
    <row r="14856" spans="1:2" x14ac:dyDescent="0.3">
      <c r="A14856" s="9" t="str">
        <f>HYPERLINK("http://www.eatonpowersource.com/products/details/107762-000","107762-000")</f>
        <v>107762-000</v>
      </c>
      <c r="B14856" s="10" t="s">
        <v>14360</v>
      </c>
    </row>
    <row r="14857" spans="1:2" x14ac:dyDescent="0.3">
      <c r="A14857" s="7" t="str">
        <f>HYPERLINK("http://www.eatonpowersource.com/products/details/107784-000","107784-000")</f>
        <v>107784-000</v>
      </c>
      <c r="B14857" s="8" t="s">
        <v>14361</v>
      </c>
    </row>
    <row r="14858" spans="1:2" x14ac:dyDescent="0.3">
      <c r="A14858" s="9" t="str">
        <f>HYPERLINK("http://www.eatonpowersource.com/products/details/107808-000","107808-000")</f>
        <v>107808-000</v>
      </c>
      <c r="B14858" s="10" t="s">
        <v>14362</v>
      </c>
    </row>
    <row r="14859" spans="1:2" x14ac:dyDescent="0.3">
      <c r="A14859" s="7" t="str">
        <f>HYPERLINK("http://www.eatonpowersource.com/products/details/107836-000","107836-000")</f>
        <v>107836-000</v>
      </c>
      <c r="B14859" s="8" t="s">
        <v>14363</v>
      </c>
    </row>
    <row r="14860" spans="1:2" x14ac:dyDescent="0.3">
      <c r="A14860" s="9" t="str">
        <f>HYPERLINK("http://www.eatonpowersource.com/products/details/107854-000","107854-000")</f>
        <v>107854-000</v>
      </c>
      <c r="B14860" s="10" t="s">
        <v>14364</v>
      </c>
    </row>
    <row r="14861" spans="1:2" x14ac:dyDescent="0.3">
      <c r="A14861" s="7" t="str">
        <f>HYPERLINK("http://www.eatonpowersource.com/products/details/107881-001","107881-001")</f>
        <v>107881-001</v>
      </c>
      <c r="B14861" s="8" t="s">
        <v>14365</v>
      </c>
    </row>
    <row r="14862" spans="1:2" x14ac:dyDescent="0.3">
      <c r="A14862" s="9" t="str">
        <f>HYPERLINK("http://www.eatonpowersource.com/products/details/107881-003","107881-003")</f>
        <v>107881-003</v>
      </c>
      <c r="B14862" s="10" t="s">
        <v>14366</v>
      </c>
    </row>
    <row r="14863" spans="1:2" x14ac:dyDescent="0.3">
      <c r="A14863" s="7" t="str">
        <f>HYPERLINK("http://www.eatonpowersource.com/products/details/107881-004","107881-004")</f>
        <v>107881-004</v>
      </c>
      <c r="B14863" s="8" t="s">
        <v>14367</v>
      </c>
    </row>
    <row r="14864" spans="1:2" x14ac:dyDescent="0.3">
      <c r="A14864" s="9" t="str">
        <f>HYPERLINK("http://www.eatonpowersource.com/products/details/107881-005","107881-005")</f>
        <v>107881-005</v>
      </c>
      <c r="B14864" s="10" t="s">
        <v>14368</v>
      </c>
    </row>
    <row r="14865" spans="1:2" x14ac:dyDescent="0.3">
      <c r="A14865" s="7" t="str">
        <f>HYPERLINK("http://www.eatonpowersource.com/products/details/107882-001","107882-001")</f>
        <v>107882-001</v>
      </c>
      <c r="B14865" s="8" t="s">
        <v>14369</v>
      </c>
    </row>
    <row r="14866" spans="1:2" x14ac:dyDescent="0.3">
      <c r="A14866" s="9" t="str">
        <f>HYPERLINK("http://www.eatonpowersource.com/products/details/107882-003","107882-003")</f>
        <v>107882-003</v>
      </c>
      <c r="B14866" s="10" t="s">
        <v>14370</v>
      </c>
    </row>
    <row r="14867" spans="1:2" x14ac:dyDescent="0.3">
      <c r="A14867" s="7" t="str">
        <f>HYPERLINK("http://www.eatonpowersource.com/products/details/107882-004","107882-004")</f>
        <v>107882-004</v>
      </c>
      <c r="B14867" s="8" t="s">
        <v>14370</v>
      </c>
    </row>
    <row r="14868" spans="1:2" x14ac:dyDescent="0.3">
      <c r="A14868" s="9" t="str">
        <f>HYPERLINK("http://www.eatonpowersource.com/products/details/107882-005","107882-005")</f>
        <v>107882-005</v>
      </c>
      <c r="B14868" s="10" t="s">
        <v>14370</v>
      </c>
    </row>
    <row r="14869" spans="1:2" x14ac:dyDescent="0.3">
      <c r="A14869" s="7" t="str">
        <f>HYPERLINK("http://www.eatonpowersource.com/products/details/107977-000","107977-000")</f>
        <v>107977-000</v>
      </c>
      <c r="B14869" s="8" t="s">
        <v>14371</v>
      </c>
    </row>
    <row r="14870" spans="1:2" x14ac:dyDescent="0.3">
      <c r="A14870" s="9" t="str">
        <f>HYPERLINK("http://www.eatonpowersource.com/products/details/108026-000","108026-000")</f>
        <v>108026-000</v>
      </c>
      <c r="B14870" s="10" t="s">
        <v>14372</v>
      </c>
    </row>
    <row r="14871" spans="1:2" x14ac:dyDescent="0.3">
      <c r="A14871" s="7" t="str">
        <f>HYPERLINK("http://www.eatonpowersource.com/products/details/108027-000","108027-000")</f>
        <v>108027-000</v>
      </c>
      <c r="B14871" s="8" t="s">
        <v>14373</v>
      </c>
    </row>
    <row r="14872" spans="1:2" x14ac:dyDescent="0.3">
      <c r="A14872" s="9" t="str">
        <f>HYPERLINK("http://www.eatonpowersource.com/products/details/108029-000","108029-000")</f>
        <v>108029-000</v>
      </c>
      <c r="B14872" s="10" t="s">
        <v>14374</v>
      </c>
    </row>
    <row r="14873" spans="1:2" x14ac:dyDescent="0.3">
      <c r="A14873" s="7" t="str">
        <f>HYPERLINK("http://www.eatonpowersource.com/products/details/108034-000","108034-000")</f>
        <v>108034-000</v>
      </c>
      <c r="B14873" s="8" t="s">
        <v>14375</v>
      </c>
    </row>
    <row r="14874" spans="1:2" x14ac:dyDescent="0.3">
      <c r="A14874" s="9" t="str">
        <f>HYPERLINK("http://www.eatonpowersource.com/products/details/108152-000","108152-000")</f>
        <v>108152-000</v>
      </c>
      <c r="B14874" s="10" t="s">
        <v>14376</v>
      </c>
    </row>
    <row r="14875" spans="1:2" x14ac:dyDescent="0.3">
      <c r="A14875" s="7" t="str">
        <f>HYPERLINK("http://www.eatonpowersource.com/products/details/108197-000","108197-000")</f>
        <v>108197-000</v>
      </c>
      <c r="B14875" s="8" t="s">
        <v>14377</v>
      </c>
    </row>
    <row r="14876" spans="1:2" x14ac:dyDescent="0.3">
      <c r="A14876" s="9" t="str">
        <f>HYPERLINK("http://www.eatonpowersource.com/products/details/108214-000","108214-000")</f>
        <v>108214-000</v>
      </c>
      <c r="B14876" s="10" t="s">
        <v>14378</v>
      </c>
    </row>
    <row r="14877" spans="1:2" x14ac:dyDescent="0.3">
      <c r="A14877" s="7" t="str">
        <f>HYPERLINK("http://www.eatonpowersource.com/products/details/108295-000","108295-000")</f>
        <v>108295-000</v>
      </c>
      <c r="B14877" s="8" t="s">
        <v>14379</v>
      </c>
    </row>
    <row r="14878" spans="1:2" x14ac:dyDescent="0.3">
      <c r="A14878" s="9" t="str">
        <f>HYPERLINK("http://www.eatonpowersource.com/products/details/108331-000","108331-000")</f>
        <v>108331-000</v>
      </c>
      <c r="B14878" s="10" t="s">
        <v>14380</v>
      </c>
    </row>
    <row r="14879" spans="1:2" x14ac:dyDescent="0.3">
      <c r="A14879" s="7" t="str">
        <f>HYPERLINK("http://www.eatonpowersource.com/products/details/108336-000","108336-000")</f>
        <v>108336-000</v>
      </c>
      <c r="B14879" s="8" t="s">
        <v>14381</v>
      </c>
    </row>
    <row r="14880" spans="1:2" x14ac:dyDescent="0.3">
      <c r="A14880" s="9" t="str">
        <f>HYPERLINK("http://www.eatonpowersource.com/products/details/108341-000","108341-000")</f>
        <v>108341-000</v>
      </c>
      <c r="B14880" s="10" t="s">
        <v>14382</v>
      </c>
    </row>
    <row r="14881" spans="1:2" x14ac:dyDescent="0.3">
      <c r="A14881" s="7" t="str">
        <f>HYPERLINK("http://www.eatonpowersource.com/products/details/108349-000","108349-000")</f>
        <v>108349-000</v>
      </c>
      <c r="B14881" s="8" t="s">
        <v>14383</v>
      </c>
    </row>
    <row r="14882" spans="1:2" x14ac:dyDescent="0.3">
      <c r="A14882" s="9" t="str">
        <f>HYPERLINK("http://www.eatonpowersource.com/products/details/108362-000","108362-000")</f>
        <v>108362-000</v>
      </c>
      <c r="B14882" s="10" t="s">
        <v>14384</v>
      </c>
    </row>
    <row r="14883" spans="1:2" x14ac:dyDescent="0.3">
      <c r="A14883" s="7" t="str">
        <f>HYPERLINK("http://www.eatonpowersource.com/products/details/108366-000","108366-000")</f>
        <v>108366-000</v>
      </c>
      <c r="B14883" s="8" t="s">
        <v>14385</v>
      </c>
    </row>
    <row r="14884" spans="1:2" x14ac:dyDescent="0.3">
      <c r="A14884" s="9" t="str">
        <f>HYPERLINK("http://www.eatonpowersource.com/products/details/108382-000","108382-000")</f>
        <v>108382-000</v>
      </c>
      <c r="B14884" s="10" t="s">
        <v>14386</v>
      </c>
    </row>
    <row r="14885" spans="1:2" x14ac:dyDescent="0.3">
      <c r="A14885" s="7" t="str">
        <f>HYPERLINK("http://www.eatonpowersource.com/products/details/108395-000","108395-000")</f>
        <v>108395-000</v>
      </c>
      <c r="B14885" s="8" t="s">
        <v>14387</v>
      </c>
    </row>
    <row r="14886" spans="1:2" x14ac:dyDescent="0.3">
      <c r="A14886" s="9" t="str">
        <f>HYPERLINK("http://www.eatonpowersource.com/products/details/108439-000","108439-000")</f>
        <v>108439-000</v>
      </c>
      <c r="B14886" s="10" t="s">
        <v>14388</v>
      </c>
    </row>
    <row r="14887" spans="1:2" x14ac:dyDescent="0.3">
      <c r="A14887" s="7" t="str">
        <f>HYPERLINK("http://www.eatonpowersource.com/products/details/108440-000","108440-000")</f>
        <v>108440-000</v>
      </c>
      <c r="B14887" s="8" t="s">
        <v>14389</v>
      </c>
    </row>
    <row r="14888" spans="1:2" x14ac:dyDescent="0.3">
      <c r="A14888" s="9" t="str">
        <f>HYPERLINK("http://www.eatonpowersource.com/products/details/108480-000","108480-000")</f>
        <v>108480-000</v>
      </c>
      <c r="B14888" s="10" t="s">
        <v>14390</v>
      </c>
    </row>
    <row r="14889" spans="1:2" x14ac:dyDescent="0.3">
      <c r="A14889" s="7" t="str">
        <f>HYPERLINK("http://www.eatonpowersource.com/products/details/108551-000","108551-000")</f>
        <v>108551-000</v>
      </c>
      <c r="B14889" s="8" t="s">
        <v>14391</v>
      </c>
    </row>
    <row r="14890" spans="1:2" x14ac:dyDescent="0.3">
      <c r="A14890" s="9" t="str">
        <f>HYPERLINK("http://www.eatonpowersource.com/products/details/108562-000","108562-000")</f>
        <v>108562-000</v>
      </c>
      <c r="B14890" s="10" t="s">
        <v>14392</v>
      </c>
    </row>
    <row r="14891" spans="1:2" x14ac:dyDescent="0.3">
      <c r="A14891" s="7" t="str">
        <f>HYPERLINK("http://www.eatonpowersource.com/products/details/108625-000","108625-000")</f>
        <v>108625-000</v>
      </c>
      <c r="B14891" s="8" t="s">
        <v>14393</v>
      </c>
    </row>
    <row r="14892" spans="1:2" x14ac:dyDescent="0.3">
      <c r="A14892" s="9" t="str">
        <f>HYPERLINK("http://www.eatonpowersource.com/products/details/108629-034","108629-034")</f>
        <v>108629-034</v>
      </c>
      <c r="B14892" s="10" t="s">
        <v>14394</v>
      </c>
    </row>
    <row r="14893" spans="1:2" x14ac:dyDescent="0.3">
      <c r="A14893" s="7" t="str">
        <f>HYPERLINK("http://www.eatonpowersource.com/products/details/108645-000","108645-000")</f>
        <v>108645-000</v>
      </c>
      <c r="B14893" s="8" t="s">
        <v>14395</v>
      </c>
    </row>
    <row r="14894" spans="1:2" x14ac:dyDescent="0.3">
      <c r="A14894" s="9" t="str">
        <f>HYPERLINK("http://www.eatonpowersource.com/products/details/108646-000","108646-000")</f>
        <v>108646-000</v>
      </c>
      <c r="B14894" s="10" t="s">
        <v>14396</v>
      </c>
    </row>
    <row r="14895" spans="1:2" x14ac:dyDescent="0.3">
      <c r="A14895" s="7" t="str">
        <f>HYPERLINK("http://www.eatonpowersource.com/products/details/108823-000","108823-000")</f>
        <v>108823-000</v>
      </c>
      <c r="B14895" s="8" t="s">
        <v>14397</v>
      </c>
    </row>
    <row r="14896" spans="1:2" x14ac:dyDescent="0.3">
      <c r="A14896" s="9" t="str">
        <f>HYPERLINK("http://www.eatonpowersource.com/products/details/108915-000","108915-000")</f>
        <v>108915-000</v>
      </c>
      <c r="B14896" s="10" t="s">
        <v>14398</v>
      </c>
    </row>
    <row r="14897" spans="1:2" x14ac:dyDescent="0.3">
      <c r="A14897" s="7" t="str">
        <f>HYPERLINK("http://www.eatonpowersource.com/products/details/108973-000","108973-000")</f>
        <v>108973-000</v>
      </c>
      <c r="B14897" s="8" t="s">
        <v>14397</v>
      </c>
    </row>
    <row r="14898" spans="1:2" x14ac:dyDescent="0.3">
      <c r="A14898" s="9" t="str">
        <f>HYPERLINK("http://www.eatonpowersource.com/products/details/108974-000","108974-000")</f>
        <v>108974-000</v>
      </c>
      <c r="B14898" s="10" t="s">
        <v>14399</v>
      </c>
    </row>
    <row r="14899" spans="1:2" x14ac:dyDescent="0.3">
      <c r="A14899" s="7" t="str">
        <f>HYPERLINK("http://www.eatonpowersource.com/products/details/108992-000","108992-000")</f>
        <v>108992-000</v>
      </c>
      <c r="B14899" s="8" t="s">
        <v>14400</v>
      </c>
    </row>
    <row r="14900" spans="1:2" x14ac:dyDescent="0.3">
      <c r="A14900" s="9" t="str">
        <f>HYPERLINK("http://www.eatonpowersource.com/products/details/109089-000","109089-000")</f>
        <v>109089-000</v>
      </c>
      <c r="B14900" s="10" t="s">
        <v>14401</v>
      </c>
    </row>
    <row r="14901" spans="1:2" x14ac:dyDescent="0.3">
      <c r="A14901" s="7" t="str">
        <f>HYPERLINK("http://www.eatonpowersource.com/products/details/109140-000","109140-000")</f>
        <v>109140-000</v>
      </c>
      <c r="B14901" s="8" t="s">
        <v>14386</v>
      </c>
    </row>
    <row r="14902" spans="1:2" x14ac:dyDescent="0.3">
      <c r="A14902" s="9" t="str">
        <f>HYPERLINK("http://www.eatonpowersource.com/products/details/109195-000","109195-000")</f>
        <v>109195-000</v>
      </c>
      <c r="B14902" s="10" t="s">
        <v>14402</v>
      </c>
    </row>
    <row r="14903" spans="1:2" x14ac:dyDescent="0.3">
      <c r="A14903" s="7" t="str">
        <f>HYPERLINK("http://www.eatonpowersource.com/products/details/109196-000","109196-000")</f>
        <v>109196-000</v>
      </c>
      <c r="B14903" s="8" t="s">
        <v>14403</v>
      </c>
    </row>
    <row r="14904" spans="1:2" x14ac:dyDescent="0.3">
      <c r="A14904" s="9" t="str">
        <f>HYPERLINK("http://www.eatonpowersource.com/products/details/109254-000","109254-000")</f>
        <v>109254-000</v>
      </c>
      <c r="B14904" s="10" t="s">
        <v>14404</v>
      </c>
    </row>
    <row r="14905" spans="1:2" x14ac:dyDescent="0.3">
      <c r="A14905" s="7" t="str">
        <f>HYPERLINK("http://www.eatonpowersource.com/products/details/109304-002","109304-002")</f>
        <v>109304-002</v>
      </c>
      <c r="B14905" s="8" t="s">
        <v>14405</v>
      </c>
    </row>
    <row r="14906" spans="1:2" x14ac:dyDescent="0.3">
      <c r="A14906" s="9" t="str">
        <f>HYPERLINK("http://www.eatonpowersource.com/products/details/109306-002","109306-002")</f>
        <v>109306-002</v>
      </c>
      <c r="B14906" s="10" t="s">
        <v>14406</v>
      </c>
    </row>
    <row r="14907" spans="1:2" x14ac:dyDescent="0.3">
      <c r="A14907" s="7" t="str">
        <f>HYPERLINK("http://www.eatonpowersource.com/products/details/109312-000","109312-000")</f>
        <v>109312-000</v>
      </c>
      <c r="B14907" s="8" t="s">
        <v>14407</v>
      </c>
    </row>
    <row r="14908" spans="1:2" x14ac:dyDescent="0.3">
      <c r="A14908" s="9" t="str">
        <f>HYPERLINK("http://www.eatonpowersource.com/products/details/109366-000","109366-000")</f>
        <v>109366-000</v>
      </c>
      <c r="B14908" s="10" t="s">
        <v>14404</v>
      </c>
    </row>
    <row r="14909" spans="1:2" x14ac:dyDescent="0.3">
      <c r="A14909" s="7" t="str">
        <f>HYPERLINK("http://www.eatonpowersource.com/products/details/109430-000","109430-000")</f>
        <v>109430-000</v>
      </c>
      <c r="B14909" s="8" t="s">
        <v>14408</v>
      </c>
    </row>
    <row r="14910" spans="1:2" x14ac:dyDescent="0.3">
      <c r="A14910" s="9" t="str">
        <f>HYPERLINK("http://www.eatonpowersource.com/products/details/109433-000","109433-000")</f>
        <v>109433-000</v>
      </c>
      <c r="B14910" s="10" t="s">
        <v>14409</v>
      </c>
    </row>
    <row r="14911" spans="1:2" x14ac:dyDescent="0.3">
      <c r="A14911" s="7" t="str">
        <f>HYPERLINK("http://www.eatonpowersource.com/products/details/109559-002","109559-002")</f>
        <v>109559-002</v>
      </c>
      <c r="B14911" s="8" t="s">
        <v>14410</v>
      </c>
    </row>
    <row r="14912" spans="1:2" x14ac:dyDescent="0.3">
      <c r="A14912" s="9" t="str">
        <f>HYPERLINK("http://www.eatonpowersource.com/products/details/109567-000","109567-000")</f>
        <v>109567-000</v>
      </c>
      <c r="B14912" s="10" t="s">
        <v>14411</v>
      </c>
    </row>
    <row r="14913" spans="1:2" x14ac:dyDescent="0.3">
      <c r="A14913" s="7" t="str">
        <f>HYPERLINK("http://www.eatonpowersource.com/products/details/109568-024","109568-024")</f>
        <v>109568-024</v>
      </c>
      <c r="B14913" s="8" t="s">
        <v>14412</v>
      </c>
    </row>
    <row r="14914" spans="1:2" x14ac:dyDescent="0.3">
      <c r="A14914" s="9" t="str">
        <f>HYPERLINK("http://www.eatonpowersource.com/products/details/109738-000","109738-000")</f>
        <v>109738-000</v>
      </c>
      <c r="B14914" s="10" t="s">
        <v>14413</v>
      </c>
    </row>
    <row r="14915" spans="1:2" x14ac:dyDescent="0.3">
      <c r="A14915" s="7" t="str">
        <f>HYPERLINK("http://www.eatonpowersource.com/products/details/109778-000","109778-000")</f>
        <v>109778-000</v>
      </c>
      <c r="B14915" s="8" t="s">
        <v>14414</v>
      </c>
    </row>
    <row r="14916" spans="1:2" x14ac:dyDescent="0.3">
      <c r="A14916" s="9" t="str">
        <f>HYPERLINK("http://www.eatonpowersource.com/products/details/109791-001","109791-001")</f>
        <v>109791-001</v>
      </c>
      <c r="B14916" s="10" t="s">
        <v>14415</v>
      </c>
    </row>
    <row r="14917" spans="1:2" x14ac:dyDescent="0.3">
      <c r="A14917" s="7" t="str">
        <f>HYPERLINK("http://www.eatonpowersource.com/products/details/110003-000","110003-000")</f>
        <v>110003-000</v>
      </c>
      <c r="B14917" s="8" t="s">
        <v>14416</v>
      </c>
    </row>
    <row r="14918" spans="1:2" x14ac:dyDescent="0.3">
      <c r="A14918" s="9" t="str">
        <f>HYPERLINK("http://www.eatonpowersource.com/products/details/110038-001","110038-001")</f>
        <v>110038-001</v>
      </c>
      <c r="B14918" s="10" t="s">
        <v>14417</v>
      </c>
    </row>
    <row r="14919" spans="1:2" x14ac:dyDescent="0.3">
      <c r="A14919" s="7" t="str">
        <f>HYPERLINK("http://www.eatonpowersource.com/products/details/110132-000","110132-000")</f>
        <v>110132-000</v>
      </c>
      <c r="B14919" s="8" t="s">
        <v>14418</v>
      </c>
    </row>
    <row r="14920" spans="1:2" x14ac:dyDescent="0.3">
      <c r="A14920" s="9" t="str">
        <f>HYPERLINK("http://www.eatonpowersource.com/products/details/110133-000","110133-000")</f>
        <v>110133-000</v>
      </c>
      <c r="B14920" s="10" t="s">
        <v>14386</v>
      </c>
    </row>
    <row r="14921" spans="1:2" x14ac:dyDescent="0.3">
      <c r="A14921" s="7" t="str">
        <f>HYPERLINK("http://www.eatonpowersource.com/products/details/110192-000","110192-000")</f>
        <v>110192-000</v>
      </c>
      <c r="B14921" s="8" t="s">
        <v>14387</v>
      </c>
    </row>
    <row r="14922" spans="1:2" x14ac:dyDescent="0.3">
      <c r="A14922" s="9" t="str">
        <f>HYPERLINK("http://www.eatonpowersource.com/products/details/110213-000","110213-000")</f>
        <v>110213-000</v>
      </c>
      <c r="B14922" s="10" t="s">
        <v>14419</v>
      </c>
    </row>
    <row r="14923" spans="1:2" x14ac:dyDescent="0.3">
      <c r="A14923" s="7" t="str">
        <f>HYPERLINK("http://www.eatonpowersource.com/products/details/110216-000","110216-000")</f>
        <v>110216-000</v>
      </c>
      <c r="B14923" s="8" t="s">
        <v>14420</v>
      </c>
    </row>
    <row r="14924" spans="1:2" x14ac:dyDescent="0.3">
      <c r="A14924" s="9" t="str">
        <f>HYPERLINK("http://www.eatonpowersource.com/products/details/110222-000","110222-000")</f>
        <v>110222-000</v>
      </c>
      <c r="B14924" s="10" t="s">
        <v>14421</v>
      </c>
    </row>
    <row r="14925" spans="1:2" x14ac:dyDescent="0.3">
      <c r="A14925" s="7" t="str">
        <f>HYPERLINK("http://www.eatonpowersource.com/products/details/110289-000","110289-000")</f>
        <v>110289-000</v>
      </c>
      <c r="B14925" s="8" t="s">
        <v>14422</v>
      </c>
    </row>
    <row r="14926" spans="1:2" x14ac:dyDescent="0.3">
      <c r="A14926" s="9" t="str">
        <f>HYPERLINK("http://www.eatonpowersource.com/products/details/110292-000","110292-000")</f>
        <v>110292-000</v>
      </c>
      <c r="B14926" s="10" t="s">
        <v>14423</v>
      </c>
    </row>
    <row r="14927" spans="1:2" x14ac:dyDescent="0.3">
      <c r="A14927" s="7" t="str">
        <f>HYPERLINK("http://www.eatonpowersource.com/products/details/110457-000","110457-000")</f>
        <v>110457-000</v>
      </c>
      <c r="B14927" s="8" t="s">
        <v>14424</v>
      </c>
    </row>
    <row r="14928" spans="1:2" x14ac:dyDescent="0.3">
      <c r="A14928" s="9" t="str">
        <f>HYPERLINK("http://www.eatonpowersource.com/products/details/110545-000","110545-000")</f>
        <v>110545-000</v>
      </c>
      <c r="B14928" s="10" t="s">
        <v>14425</v>
      </c>
    </row>
    <row r="14929" spans="1:2" x14ac:dyDescent="0.3">
      <c r="A14929" s="7" t="str">
        <f>HYPERLINK("http://www.eatonpowersource.com/products/details/110546-000","110546-000")</f>
        <v>110546-000</v>
      </c>
      <c r="B14929" s="8" t="s">
        <v>14426</v>
      </c>
    </row>
    <row r="14930" spans="1:2" x14ac:dyDescent="0.3">
      <c r="A14930" s="9" t="str">
        <f>HYPERLINK("http://www.eatonpowersource.com/products/details/110562-000","110562-000")</f>
        <v>110562-000</v>
      </c>
      <c r="B14930" s="10" t="s">
        <v>14425</v>
      </c>
    </row>
    <row r="14931" spans="1:2" x14ac:dyDescent="0.3">
      <c r="A14931" s="7" t="str">
        <f>HYPERLINK("http://www.eatonpowersource.com/products/details/110700-200","110700-200")</f>
        <v>110700-200</v>
      </c>
      <c r="B14931" s="8" t="s">
        <v>14427</v>
      </c>
    </row>
    <row r="14932" spans="1:2" x14ac:dyDescent="0.3">
      <c r="A14932" s="9" t="str">
        <f>HYPERLINK("http://www.eatonpowersource.com/products/details/110700-250","110700-250")</f>
        <v>110700-250</v>
      </c>
      <c r="B14932" s="10" t="s">
        <v>14427</v>
      </c>
    </row>
    <row r="14933" spans="1:2" x14ac:dyDescent="0.3">
      <c r="A14933" s="7" t="str">
        <f>HYPERLINK("http://www.eatonpowersource.com/products/details/110700-300","110700-300")</f>
        <v>110700-300</v>
      </c>
      <c r="B14933" s="8" t="s">
        <v>14428</v>
      </c>
    </row>
    <row r="14934" spans="1:2" x14ac:dyDescent="0.3">
      <c r="A14934" s="9" t="str">
        <f>HYPERLINK("http://www.eatonpowersource.com/products/details/110700-325","110700-325")</f>
        <v>110700-325</v>
      </c>
      <c r="B14934" s="10" t="s">
        <v>14429</v>
      </c>
    </row>
    <row r="14935" spans="1:2" x14ac:dyDescent="0.3">
      <c r="A14935" s="7" t="str">
        <f>HYPERLINK("http://www.eatonpowersource.com/products/details/110700-350","110700-350")</f>
        <v>110700-350</v>
      </c>
      <c r="B14935" s="8" t="s">
        <v>14430</v>
      </c>
    </row>
    <row r="14936" spans="1:2" x14ac:dyDescent="0.3">
      <c r="A14936" s="9" t="str">
        <f>HYPERLINK("http://www.eatonpowersource.com/products/details/110700-375","110700-375")</f>
        <v>110700-375</v>
      </c>
      <c r="B14936" s="10" t="s">
        <v>14431</v>
      </c>
    </row>
    <row r="14937" spans="1:2" x14ac:dyDescent="0.3">
      <c r="A14937" s="7" t="str">
        <f>HYPERLINK("http://www.eatonpowersource.com/products/details/110700-400","110700-400")</f>
        <v>110700-400</v>
      </c>
      <c r="B14937" s="8" t="s">
        <v>14431</v>
      </c>
    </row>
    <row r="14938" spans="1:2" x14ac:dyDescent="0.3">
      <c r="A14938" s="9" t="str">
        <f>HYPERLINK("http://www.eatonpowersource.com/products/details/110700-450","110700-450")</f>
        <v>110700-450</v>
      </c>
      <c r="B14938" s="10" t="s">
        <v>14432</v>
      </c>
    </row>
    <row r="14939" spans="1:2" x14ac:dyDescent="0.3">
      <c r="A14939" s="7" t="str">
        <f>HYPERLINK("http://www.eatonpowersource.com/products/details/110700-500","110700-500")</f>
        <v>110700-500</v>
      </c>
      <c r="B14939" s="8" t="s">
        <v>14433</v>
      </c>
    </row>
    <row r="14940" spans="1:2" x14ac:dyDescent="0.3">
      <c r="A14940" s="9" t="str">
        <f>HYPERLINK("http://www.eatonpowersource.com/products/details/110700-525","110700-525")</f>
        <v>110700-525</v>
      </c>
      <c r="B14940" s="10" t="s">
        <v>14434</v>
      </c>
    </row>
    <row r="14941" spans="1:2" x14ac:dyDescent="0.3">
      <c r="A14941" s="7" t="str">
        <f>HYPERLINK("http://www.eatonpowersource.com/products/details/110700-550","110700-550")</f>
        <v>110700-550</v>
      </c>
      <c r="B14941" s="8" t="s">
        <v>14435</v>
      </c>
    </row>
    <row r="14942" spans="1:2" x14ac:dyDescent="0.3">
      <c r="A14942" s="9" t="str">
        <f>HYPERLINK("http://www.eatonpowersource.com/products/details/110700-650","110700-650")</f>
        <v>110700-650</v>
      </c>
      <c r="B14942" s="10" t="s">
        <v>14434</v>
      </c>
    </row>
    <row r="14943" spans="1:2" x14ac:dyDescent="0.3">
      <c r="A14943" s="7" t="str">
        <f>HYPERLINK("http://www.eatonpowersource.com/products/details/110937-022","110937-022")</f>
        <v>110937-022</v>
      </c>
      <c r="B14943" s="8" t="s">
        <v>14436</v>
      </c>
    </row>
    <row r="14944" spans="1:2" x14ac:dyDescent="0.3">
      <c r="A14944" s="9" t="str">
        <f>HYPERLINK("http://www.eatonpowersource.com/products/details/111092-000","111092-000")</f>
        <v>111092-000</v>
      </c>
      <c r="B14944" s="10" t="s">
        <v>14437</v>
      </c>
    </row>
    <row r="14945" spans="1:2" x14ac:dyDescent="0.3">
      <c r="A14945" s="7" t="str">
        <f>HYPERLINK("http://www.eatonpowersource.com/products/details/111174-090","111174-090")</f>
        <v>111174-090</v>
      </c>
      <c r="B14945" s="8" t="s">
        <v>14438</v>
      </c>
    </row>
    <row r="14946" spans="1:2" x14ac:dyDescent="0.3">
      <c r="A14946" s="9" t="str">
        <f>HYPERLINK("http://www.eatonpowersource.com/products/details/111402-000","111402-000")</f>
        <v>111402-000</v>
      </c>
      <c r="B14946" s="10" t="s">
        <v>14439</v>
      </c>
    </row>
    <row r="14947" spans="1:2" x14ac:dyDescent="0.3">
      <c r="A14947" s="7" t="str">
        <f>HYPERLINK("http://www.eatonpowersource.com/products/details/111406-012","111406-012")</f>
        <v>111406-012</v>
      </c>
      <c r="B14947" s="8" t="s">
        <v>14440</v>
      </c>
    </row>
    <row r="14948" spans="1:2" x14ac:dyDescent="0.3">
      <c r="A14948" s="9" t="str">
        <f>HYPERLINK("http://www.eatonpowersource.com/products/details/111557-000","111557-000")</f>
        <v>111557-000</v>
      </c>
      <c r="B14948" s="10" t="s">
        <v>14441</v>
      </c>
    </row>
    <row r="14949" spans="1:2" x14ac:dyDescent="0.3">
      <c r="A14949" s="7" t="str">
        <f>HYPERLINK("http://www.eatonpowersource.com/products/details/111570-000","111570-000")</f>
        <v>111570-000</v>
      </c>
      <c r="B14949" s="8" t="s">
        <v>14442</v>
      </c>
    </row>
    <row r="14950" spans="1:2" x14ac:dyDescent="0.3">
      <c r="A14950" s="9" t="str">
        <f>HYPERLINK("http://www.eatonpowersource.com/products/details/111797-000","111797-000")</f>
        <v>111797-000</v>
      </c>
      <c r="B14950" s="10" t="s">
        <v>14443</v>
      </c>
    </row>
    <row r="14951" spans="1:2" x14ac:dyDescent="0.3">
      <c r="A14951" s="7" t="str">
        <f>HYPERLINK("http://www.eatonpowersource.com/products/details/111816-000","111816-000")</f>
        <v>111816-000</v>
      </c>
      <c r="B14951" s="8" t="s">
        <v>14444</v>
      </c>
    </row>
    <row r="14952" spans="1:2" x14ac:dyDescent="0.3">
      <c r="A14952" s="9" t="str">
        <f>HYPERLINK("http://www.eatonpowersource.com/products/details/111892-000","111892-000")</f>
        <v>111892-000</v>
      </c>
      <c r="B14952" s="10" t="s">
        <v>14445</v>
      </c>
    </row>
    <row r="14953" spans="1:2" x14ac:dyDescent="0.3">
      <c r="A14953" s="7" t="str">
        <f>HYPERLINK("http://www.eatonpowersource.com/products/details/112037-000","112037-000")</f>
        <v>112037-000</v>
      </c>
      <c r="B14953" s="8" t="s">
        <v>14446</v>
      </c>
    </row>
    <row r="14954" spans="1:2" x14ac:dyDescent="0.3">
      <c r="A14954" s="9" t="str">
        <f>HYPERLINK("http://www.eatonpowersource.com/products/details/112126-001","112126-001")</f>
        <v>112126-001</v>
      </c>
      <c r="B14954" s="10" t="s">
        <v>14447</v>
      </c>
    </row>
    <row r="14955" spans="1:2" x14ac:dyDescent="0.3">
      <c r="A14955" s="7" t="str">
        <f>HYPERLINK("http://www.eatonpowersource.com/products/details/112211-001","112211-001")</f>
        <v>112211-001</v>
      </c>
      <c r="B14955" s="8" t="s">
        <v>14448</v>
      </c>
    </row>
    <row r="14956" spans="1:2" x14ac:dyDescent="0.3">
      <c r="A14956" s="9" t="str">
        <f>HYPERLINK("http://www.eatonpowersource.com/products/details/112238-000","112238-000")</f>
        <v>112238-000</v>
      </c>
      <c r="B14956" s="10" t="s">
        <v>14449</v>
      </c>
    </row>
    <row r="14957" spans="1:2" x14ac:dyDescent="0.3">
      <c r="A14957" s="7" t="str">
        <f>HYPERLINK("http://www.eatonpowersource.com/products/details/112256-001","112256-001")</f>
        <v>112256-001</v>
      </c>
      <c r="B14957" s="8" t="s">
        <v>14450</v>
      </c>
    </row>
    <row r="14958" spans="1:2" x14ac:dyDescent="0.3">
      <c r="A14958" s="9" t="str">
        <f>HYPERLINK("http://www.eatonpowersource.com/products/details/112258-001","112258-001")</f>
        <v>112258-001</v>
      </c>
      <c r="B14958" s="10" t="s">
        <v>14451</v>
      </c>
    </row>
    <row r="14959" spans="1:2" x14ac:dyDescent="0.3">
      <c r="A14959" s="7" t="str">
        <f>HYPERLINK("http://www.eatonpowersource.com/products/details/112259-012","112259-012")</f>
        <v>112259-012</v>
      </c>
      <c r="B14959" s="8" t="s">
        <v>14452</v>
      </c>
    </row>
    <row r="14960" spans="1:2" x14ac:dyDescent="0.3">
      <c r="A14960" s="9" t="str">
        <f>HYPERLINK("http://www.eatonpowersource.com/products/details/112343-000","112343-000")</f>
        <v>112343-000</v>
      </c>
      <c r="B14960" s="10" t="s">
        <v>14453</v>
      </c>
    </row>
    <row r="14961" spans="1:2" x14ac:dyDescent="0.3">
      <c r="A14961" s="7" t="str">
        <f>HYPERLINK("http://www.eatonpowersource.com/products/details/112352-004","112352-004")</f>
        <v>112352-004</v>
      </c>
      <c r="B14961" s="8" t="s">
        <v>14454</v>
      </c>
    </row>
    <row r="14962" spans="1:2" x14ac:dyDescent="0.3">
      <c r="A14962" s="9" t="str">
        <f>HYPERLINK("http://www.eatonpowersource.com/products/details/112375-000","112375-000")</f>
        <v>112375-000</v>
      </c>
      <c r="B14962" s="10" t="s">
        <v>14455</v>
      </c>
    </row>
    <row r="14963" spans="1:2" x14ac:dyDescent="0.3">
      <c r="A14963" s="7" t="str">
        <f>HYPERLINK("http://www.eatonpowersource.com/products/details/112466-000","112466-000")</f>
        <v>112466-000</v>
      </c>
      <c r="B14963" s="8" t="s">
        <v>14456</v>
      </c>
    </row>
    <row r="14964" spans="1:2" x14ac:dyDescent="0.3">
      <c r="A14964" s="9" t="str">
        <f>HYPERLINK("http://www.eatonpowersource.com/products/details/112467-000","112467-000")</f>
        <v>112467-000</v>
      </c>
      <c r="B14964" s="10" t="s">
        <v>14457</v>
      </c>
    </row>
    <row r="14965" spans="1:2" x14ac:dyDescent="0.3">
      <c r="A14965" s="7" t="str">
        <f>HYPERLINK("http://www.eatonpowersource.com/products/details/112481-000","112481-000")</f>
        <v>112481-000</v>
      </c>
      <c r="B14965" s="8" t="s">
        <v>14458</v>
      </c>
    </row>
    <row r="14966" spans="1:2" x14ac:dyDescent="0.3">
      <c r="A14966" s="9" t="str">
        <f>HYPERLINK("http://www.eatonpowersource.com/products/details/112482-000","112482-000")</f>
        <v>112482-000</v>
      </c>
      <c r="B14966" s="10" t="s">
        <v>14457</v>
      </c>
    </row>
    <row r="14967" spans="1:2" x14ac:dyDescent="0.3">
      <c r="A14967" s="7" t="str">
        <f>HYPERLINK("http://www.eatonpowersource.com/products/details/112483-000","112483-000")</f>
        <v>112483-000</v>
      </c>
      <c r="B14967" s="8" t="s">
        <v>14459</v>
      </c>
    </row>
    <row r="14968" spans="1:2" x14ac:dyDescent="0.3">
      <c r="A14968" s="9" t="str">
        <f>HYPERLINK("http://www.eatonpowersource.com/products/details/112530-044","112530-044")</f>
        <v>112530-044</v>
      </c>
      <c r="B14968" s="10" t="s">
        <v>14460</v>
      </c>
    </row>
    <row r="14969" spans="1:2" x14ac:dyDescent="0.3">
      <c r="A14969" s="7" t="str">
        <f>HYPERLINK("http://www.eatonpowersource.com/products/details/112530-045","112530-045")</f>
        <v>112530-045</v>
      </c>
      <c r="B14969" s="8" t="s">
        <v>14461</v>
      </c>
    </row>
    <row r="14970" spans="1:2" x14ac:dyDescent="0.3">
      <c r="A14970" s="9" t="str">
        <f>HYPERLINK("http://www.eatonpowersource.com/products/details/112530-135","112530-135")</f>
        <v>112530-135</v>
      </c>
      <c r="B14970" s="10" t="s">
        <v>14462</v>
      </c>
    </row>
    <row r="14971" spans="1:2" x14ac:dyDescent="0.3">
      <c r="A14971" s="7" t="str">
        <f>HYPERLINK("http://www.eatonpowersource.com/products/details/112564-001","112564-001")</f>
        <v>112564-001</v>
      </c>
      <c r="B14971" s="8" t="s">
        <v>14463</v>
      </c>
    </row>
    <row r="14972" spans="1:2" x14ac:dyDescent="0.3">
      <c r="A14972" s="9" t="str">
        <f>HYPERLINK("http://www.eatonpowersource.com/products/details/112612-000","112612-000")</f>
        <v>112612-000</v>
      </c>
      <c r="B14972" s="10" t="s">
        <v>14464</v>
      </c>
    </row>
    <row r="14973" spans="1:2" x14ac:dyDescent="0.3">
      <c r="A14973" s="7" t="str">
        <f>HYPERLINK("http://www.eatonpowersource.com/products/details/112644-008","112644-008")</f>
        <v>112644-008</v>
      </c>
      <c r="B14973" s="8" t="s">
        <v>14465</v>
      </c>
    </row>
    <row r="14974" spans="1:2" x14ac:dyDescent="0.3">
      <c r="A14974" s="9" t="str">
        <f>HYPERLINK("http://www.eatonpowersource.com/products/details/112772-000","112772-000")</f>
        <v>112772-000</v>
      </c>
      <c r="B14974" s="10" t="s">
        <v>14466</v>
      </c>
    </row>
    <row r="14975" spans="1:2" x14ac:dyDescent="0.3">
      <c r="A14975" s="7" t="str">
        <f>HYPERLINK("http://www.eatonpowersource.com/products/details/112809-000","112809-000")</f>
        <v>112809-000</v>
      </c>
      <c r="B14975" s="8" t="s">
        <v>14467</v>
      </c>
    </row>
    <row r="14976" spans="1:2" x14ac:dyDescent="0.3">
      <c r="A14976" s="9" t="str">
        <f>HYPERLINK("http://www.eatonpowersource.com/products/details/112813-000","112813-000")</f>
        <v>112813-000</v>
      </c>
      <c r="B14976" s="10" t="s">
        <v>14453</v>
      </c>
    </row>
    <row r="14977" spans="1:2" x14ac:dyDescent="0.3">
      <c r="A14977" s="7" t="str">
        <f>HYPERLINK("http://www.eatonpowersource.com/products/details/112817-000","112817-000")</f>
        <v>112817-000</v>
      </c>
      <c r="B14977" s="8" t="s">
        <v>14453</v>
      </c>
    </row>
    <row r="14978" spans="1:2" x14ac:dyDescent="0.3">
      <c r="A14978" s="9" t="str">
        <f>HYPERLINK("http://www.eatonpowersource.com/products/details/112819-000","112819-000")</f>
        <v>112819-000</v>
      </c>
      <c r="B14978" s="10" t="s">
        <v>14453</v>
      </c>
    </row>
    <row r="14979" spans="1:2" x14ac:dyDescent="0.3">
      <c r="A14979" s="7" t="str">
        <f>HYPERLINK("http://www.eatonpowersource.com/products/details/112821-000","112821-000")</f>
        <v>112821-000</v>
      </c>
      <c r="B14979" s="8" t="s">
        <v>14468</v>
      </c>
    </row>
    <row r="14980" spans="1:2" x14ac:dyDescent="0.3">
      <c r="A14980" s="9" t="str">
        <f>HYPERLINK("http://www.eatonpowersource.com/products/details/112823-000","112823-000")</f>
        <v>112823-000</v>
      </c>
      <c r="B14980" s="10" t="s">
        <v>14453</v>
      </c>
    </row>
    <row r="14981" spans="1:2" x14ac:dyDescent="0.3">
      <c r="A14981" s="7" t="str">
        <f>HYPERLINK("http://www.eatonpowersource.com/products/details/112825-000","112825-000")</f>
        <v>112825-000</v>
      </c>
      <c r="B14981" s="8" t="s">
        <v>14453</v>
      </c>
    </row>
    <row r="14982" spans="1:2" x14ac:dyDescent="0.3">
      <c r="A14982" s="9" t="str">
        <f>HYPERLINK("http://www.eatonpowersource.com/products/details/112843-000","112843-000")</f>
        <v>112843-000</v>
      </c>
      <c r="B14982" s="10" t="s">
        <v>14453</v>
      </c>
    </row>
    <row r="14983" spans="1:2" x14ac:dyDescent="0.3">
      <c r="A14983" s="7" t="str">
        <f>HYPERLINK("http://www.eatonpowersource.com/products/details/112850-001","112850-001")</f>
        <v>112850-001</v>
      </c>
      <c r="B14983" s="8" t="s">
        <v>14469</v>
      </c>
    </row>
    <row r="14984" spans="1:2" x14ac:dyDescent="0.3">
      <c r="A14984" s="9" t="str">
        <f>HYPERLINK("http://www.eatonpowersource.com/products/details/112850-002","112850-002")</f>
        <v>112850-002</v>
      </c>
      <c r="B14984" s="10" t="s">
        <v>14470</v>
      </c>
    </row>
    <row r="14985" spans="1:2" x14ac:dyDescent="0.3">
      <c r="A14985" s="7" t="str">
        <f>HYPERLINK("http://www.eatonpowersource.com/products/details/112949-000","112949-000")</f>
        <v>112949-000</v>
      </c>
      <c r="B14985" s="8" t="s">
        <v>14471</v>
      </c>
    </row>
    <row r="14986" spans="1:2" x14ac:dyDescent="0.3">
      <c r="A14986" s="9" t="str">
        <f>HYPERLINK("http://www.eatonpowersource.com/products/details/113003-001","113003-001")</f>
        <v>113003-001</v>
      </c>
      <c r="B14986" s="10" t="s">
        <v>14472</v>
      </c>
    </row>
    <row r="14987" spans="1:2" x14ac:dyDescent="0.3">
      <c r="A14987" s="7" t="str">
        <f>HYPERLINK("http://www.eatonpowersource.com/products/details/113003-002","113003-002")</f>
        <v>113003-002</v>
      </c>
      <c r="B14987" s="8" t="s">
        <v>14473</v>
      </c>
    </row>
    <row r="14988" spans="1:2" x14ac:dyDescent="0.3">
      <c r="A14988" s="9" t="str">
        <f>HYPERLINK("http://www.eatonpowersource.com/products/details/113148-000","113148-000")</f>
        <v>113148-000</v>
      </c>
      <c r="B14988" s="10" t="s">
        <v>14474</v>
      </c>
    </row>
    <row r="14989" spans="1:2" x14ac:dyDescent="0.3">
      <c r="A14989" s="7" t="str">
        <f>HYPERLINK("http://www.eatonpowersource.com/products/details/113169-000","113169-000")</f>
        <v>113169-000</v>
      </c>
      <c r="B14989" s="8" t="s">
        <v>14475</v>
      </c>
    </row>
    <row r="14990" spans="1:2" x14ac:dyDescent="0.3">
      <c r="A14990" s="9" t="str">
        <f>HYPERLINK("http://www.eatonpowersource.com/products/details/113186-001","113186-001")</f>
        <v>113186-001</v>
      </c>
      <c r="B14990" s="10" t="s">
        <v>14476</v>
      </c>
    </row>
    <row r="14991" spans="1:2" x14ac:dyDescent="0.3">
      <c r="A14991" s="7" t="str">
        <f>HYPERLINK("http://www.eatonpowersource.com/products/details/113201-000","113201-000")</f>
        <v>113201-000</v>
      </c>
      <c r="B14991" s="8" t="s">
        <v>14477</v>
      </c>
    </row>
    <row r="14992" spans="1:2" x14ac:dyDescent="0.3">
      <c r="A14992" s="9" t="str">
        <f>HYPERLINK("http://www.eatonpowersource.com/products/details/113203-000","113203-000")</f>
        <v>113203-000</v>
      </c>
      <c r="B14992" s="10" t="s">
        <v>14478</v>
      </c>
    </row>
    <row r="14993" spans="1:2" x14ac:dyDescent="0.3">
      <c r="A14993" s="7" t="str">
        <f>HYPERLINK("http://www.eatonpowersource.com/products/details/113226-012","113226-012")</f>
        <v>113226-012</v>
      </c>
      <c r="B14993" s="8" t="s">
        <v>14479</v>
      </c>
    </row>
    <row r="14994" spans="1:2" x14ac:dyDescent="0.3">
      <c r="A14994" s="9" t="str">
        <f>HYPERLINK("http://www.eatonpowersource.com/products/details/113275-000","113275-000")</f>
        <v>113275-000</v>
      </c>
      <c r="B14994" s="10" t="s">
        <v>9970</v>
      </c>
    </row>
    <row r="14995" spans="1:2" x14ac:dyDescent="0.3">
      <c r="A14995" s="7" t="str">
        <f>HYPERLINK("http://www.eatonpowersource.com/products/details/113277-000","113277-000")</f>
        <v>113277-000</v>
      </c>
      <c r="B14995" s="8" t="s">
        <v>9970</v>
      </c>
    </row>
    <row r="14996" spans="1:2" x14ac:dyDescent="0.3">
      <c r="A14996" s="9" t="str">
        <f>HYPERLINK("http://www.eatonpowersource.com/products/details/113281-000","113281-000")</f>
        <v>113281-000</v>
      </c>
      <c r="B14996" s="10" t="s">
        <v>9970</v>
      </c>
    </row>
    <row r="14997" spans="1:2" x14ac:dyDescent="0.3">
      <c r="A14997" s="7" t="str">
        <f>HYPERLINK("http://www.eatonpowersource.com/products/details/113299-000","113299-000")</f>
        <v>113299-000</v>
      </c>
      <c r="B14997" s="8" t="s">
        <v>9970</v>
      </c>
    </row>
    <row r="14998" spans="1:2" x14ac:dyDescent="0.3">
      <c r="A14998" s="9" t="str">
        <f>HYPERLINK("http://www.eatonpowersource.com/products/details/113305-000","113305-000")</f>
        <v>113305-000</v>
      </c>
      <c r="B14998" s="10" t="s">
        <v>14480</v>
      </c>
    </row>
    <row r="14999" spans="1:2" x14ac:dyDescent="0.3">
      <c r="A14999" s="7" t="str">
        <f>HYPERLINK("http://www.eatonpowersource.com/products/details/113336-000","113336-000")</f>
        <v>113336-000</v>
      </c>
      <c r="B14999" s="8" t="s">
        <v>14481</v>
      </c>
    </row>
    <row r="15000" spans="1:2" x14ac:dyDescent="0.3">
      <c r="A15000" s="9" t="str">
        <f>HYPERLINK("http://www.eatonpowersource.com/products/details/113338-000","113338-000")</f>
        <v>113338-000</v>
      </c>
      <c r="B15000" s="10" t="s">
        <v>14482</v>
      </c>
    </row>
    <row r="15001" spans="1:2" x14ac:dyDescent="0.3">
      <c r="A15001" s="7" t="str">
        <f>HYPERLINK("http://www.eatonpowersource.com/products/details/113343-000","113343-000")</f>
        <v>113343-000</v>
      </c>
      <c r="B15001" s="8" t="s">
        <v>14483</v>
      </c>
    </row>
    <row r="15002" spans="1:2" x14ac:dyDescent="0.3">
      <c r="A15002" s="9" t="str">
        <f>HYPERLINK("http://www.eatonpowersource.com/products/details/113344-000","113344-000")</f>
        <v>113344-000</v>
      </c>
      <c r="B15002" s="10" t="s">
        <v>14482</v>
      </c>
    </row>
    <row r="15003" spans="1:2" x14ac:dyDescent="0.3">
      <c r="A15003" s="7" t="str">
        <f>HYPERLINK("http://www.eatonpowersource.com/products/details/113350-000","113350-000")</f>
        <v>113350-000</v>
      </c>
      <c r="B15003" s="8" t="s">
        <v>14482</v>
      </c>
    </row>
    <row r="15004" spans="1:2" x14ac:dyDescent="0.3">
      <c r="A15004" s="9" t="str">
        <f>HYPERLINK("http://www.eatonpowersource.com/products/details/113352-000","113352-000")</f>
        <v>113352-000</v>
      </c>
      <c r="B15004" s="10" t="s">
        <v>14484</v>
      </c>
    </row>
    <row r="15005" spans="1:2" x14ac:dyDescent="0.3">
      <c r="A15005" s="7" t="str">
        <f>HYPERLINK("http://www.eatonpowersource.com/products/details/113388-775","113388-775")</f>
        <v>113388-775</v>
      </c>
      <c r="B15005" s="8" t="s">
        <v>14485</v>
      </c>
    </row>
    <row r="15006" spans="1:2" x14ac:dyDescent="0.3">
      <c r="A15006" s="9" t="str">
        <f>HYPERLINK("http://www.eatonpowersource.com/products/details/113388-825","113388-825")</f>
        <v>113388-825</v>
      </c>
      <c r="B15006" s="10" t="s">
        <v>14486</v>
      </c>
    </row>
    <row r="15007" spans="1:2" x14ac:dyDescent="0.3">
      <c r="A15007" s="7" t="str">
        <f>HYPERLINK("http://www.eatonpowersource.com/products/details/113482-014","113482-014")</f>
        <v>113482-014</v>
      </c>
      <c r="B15007" s="8" t="s">
        <v>14487</v>
      </c>
    </row>
    <row r="15008" spans="1:2" x14ac:dyDescent="0.3">
      <c r="A15008" s="9" t="str">
        <f>HYPERLINK("http://www.eatonpowersource.com/products/details/113538-001","113538-001")</f>
        <v>113538-001</v>
      </c>
      <c r="B15008" s="10" t="s">
        <v>14488</v>
      </c>
    </row>
    <row r="15009" spans="1:2" x14ac:dyDescent="0.3">
      <c r="A15009" s="7" t="str">
        <f>HYPERLINK("http://www.eatonpowersource.com/products/details/113578-001","113578-001")</f>
        <v>113578-001</v>
      </c>
      <c r="B15009" s="8" t="s">
        <v>14489</v>
      </c>
    </row>
    <row r="15010" spans="1:2" x14ac:dyDescent="0.3">
      <c r="A15010" s="9" t="str">
        <f>HYPERLINK("http://www.eatonpowersource.com/products/details/113585-001","113585-001")</f>
        <v>113585-001</v>
      </c>
      <c r="B15010" s="10" t="s">
        <v>14490</v>
      </c>
    </row>
    <row r="15011" spans="1:2" x14ac:dyDescent="0.3">
      <c r="A15011" s="7" t="str">
        <f>HYPERLINK("http://www.eatonpowersource.com/products/details/113632-000","113632-000")</f>
        <v>113632-000</v>
      </c>
      <c r="B15011" s="8" t="s">
        <v>14491</v>
      </c>
    </row>
    <row r="15012" spans="1:2" x14ac:dyDescent="0.3">
      <c r="A15012" s="9" t="str">
        <f>HYPERLINK("http://www.eatonpowersource.com/products/details/113684-001","113684-001")</f>
        <v>113684-001</v>
      </c>
      <c r="B15012" s="10" t="s">
        <v>14492</v>
      </c>
    </row>
    <row r="15013" spans="1:2" x14ac:dyDescent="0.3">
      <c r="A15013" s="7" t="str">
        <f>HYPERLINK("http://www.eatonpowersource.com/products/details/113714-012","113714-012")</f>
        <v>113714-012</v>
      </c>
      <c r="B15013" s="8" t="s">
        <v>14493</v>
      </c>
    </row>
    <row r="15014" spans="1:2" x14ac:dyDescent="0.3">
      <c r="A15014" s="9" t="str">
        <f>HYPERLINK("http://www.eatonpowersource.com/products/details/113718-000","113718-000")</f>
        <v>113718-000</v>
      </c>
      <c r="B15014" s="10" t="s">
        <v>14494</v>
      </c>
    </row>
    <row r="15015" spans="1:2" x14ac:dyDescent="0.3">
      <c r="A15015" s="7" t="str">
        <f>HYPERLINK("http://www.eatonpowersource.com/products/details/113726-000","113726-000")</f>
        <v>113726-000</v>
      </c>
      <c r="B15015" s="8" t="s">
        <v>14495</v>
      </c>
    </row>
    <row r="15016" spans="1:2" x14ac:dyDescent="0.3">
      <c r="A15016" s="9" t="str">
        <f>HYPERLINK("http://www.eatonpowersource.com/products/details/114048-001","114048-001")</f>
        <v>114048-001</v>
      </c>
      <c r="B15016" s="10" t="s">
        <v>14496</v>
      </c>
    </row>
    <row r="15017" spans="1:2" x14ac:dyDescent="0.3">
      <c r="A15017" s="7" t="str">
        <f>HYPERLINK("http://www.eatonpowersource.com/products/details/114154-003","114154-003")</f>
        <v>114154-003</v>
      </c>
      <c r="B15017" s="8" t="s">
        <v>14485</v>
      </c>
    </row>
    <row r="15018" spans="1:2" x14ac:dyDescent="0.3">
      <c r="A15018" s="9" t="str">
        <f>HYPERLINK("http://www.eatonpowersource.com/products/details/114154-005","114154-005")</f>
        <v>114154-005</v>
      </c>
      <c r="B15018" s="10" t="s">
        <v>14485</v>
      </c>
    </row>
    <row r="15019" spans="1:2" x14ac:dyDescent="0.3">
      <c r="A15019" s="7" t="str">
        <f>HYPERLINK("http://www.eatonpowersource.com/products/details/114154-007","114154-007")</f>
        <v>114154-007</v>
      </c>
      <c r="B15019" s="8" t="s">
        <v>14485</v>
      </c>
    </row>
    <row r="15020" spans="1:2" x14ac:dyDescent="0.3">
      <c r="A15020" s="9" t="str">
        <f>HYPERLINK("http://www.eatonpowersource.com/products/details/114154-008","114154-008")</f>
        <v>114154-008</v>
      </c>
      <c r="B15020" s="10" t="s">
        <v>14485</v>
      </c>
    </row>
    <row r="15021" spans="1:2" x14ac:dyDescent="0.3">
      <c r="A15021" s="7" t="str">
        <f>HYPERLINK("http://www.eatonpowersource.com/products/details/114154-009","114154-009")</f>
        <v>114154-009</v>
      </c>
      <c r="B15021" s="8" t="s">
        <v>14485</v>
      </c>
    </row>
    <row r="15022" spans="1:2" x14ac:dyDescent="0.3">
      <c r="A15022" s="9" t="str">
        <f>HYPERLINK("http://www.eatonpowersource.com/products/details/114154-011","114154-011")</f>
        <v>114154-011</v>
      </c>
      <c r="B15022" s="10" t="s">
        <v>14485</v>
      </c>
    </row>
    <row r="15023" spans="1:2" x14ac:dyDescent="0.3">
      <c r="A15023" s="7" t="str">
        <f>HYPERLINK("http://www.eatonpowersource.com/products/details/114154-021","114154-021")</f>
        <v>114154-021</v>
      </c>
      <c r="B15023" s="8" t="s">
        <v>14497</v>
      </c>
    </row>
    <row r="15024" spans="1:2" x14ac:dyDescent="0.3">
      <c r="A15024" s="9" t="str">
        <f>HYPERLINK("http://www.eatonpowersource.com/products/details/114154-025","114154-025")</f>
        <v>114154-025</v>
      </c>
      <c r="B15024" s="10" t="s">
        <v>14498</v>
      </c>
    </row>
    <row r="15025" spans="1:2" x14ac:dyDescent="0.3">
      <c r="A15025" s="7" t="str">
        <f>HYPERLINK("http://www.eatonpowersource.com/products/details/114154-026","114154-026")</f>
        <v>114154-026</v>
      </c>
      <c r="B15025" s="8" t="s">
        <v>14499</v>
      </c>
    </row>
    <row r="15026" spans="1:2" x14ac:dyDescent="0.3">
      <c r="A15026" s="9" t="str">
        <f>HYPERLINK("http://www.eatonpowersource.com/products/details/114154-027","114154-027")</f>
        <v>114154-027</v>
      </c>
      <c r="B15026" s="10" t="s">
        <v>14485</v>
      </c>
    </row>
    <row r="15027" spans="1:2" x14ac:dyDescent="0.3">
      <c r="A15027" s="7" t="str">
        <f>HYPERLINK("http://www.eatonpowersource.com/products/details/114154-029","114154-029")</f>
        <v>114154-029</v>
      </c>
      <c r="B15027" s="8" t="s">
        <v>14485</v>
      </c>
    </row>
    <row r="15028" spans="1:2" x14ac:dyDescent="0.3">
      <c r="A15028" s="9" t="str">
        <f>HYPERLINK("http://www.eatonpowersource.com/products/details/114178-000","114178-000")</f>
        <v>114178-000</v>
      </c>
      <c r="B15028" s="10" t="s">
        <v>14500</v>
      </c>
    </row>
    <row r="15029" spans="1:2" x14ac:dyDescent="0.3">
      <c r="A15029" s="7" t="str">
        <f>HYPERLINK("http://www.eatonpowersource.com/products/details/114241-012","114241-012")</f>
        <v>114241-012</v>
      </c>
      <c r="B15029" s="8" t="s">
        <v>14501</v>
      </c>
    </row>
    <row r="15030" spans="1:2" x14ac:dyDescent="0.3">
      <c r="A15030" s="9" t="str">
        <f>HYPERLINK("http://www.eatonpowersource.com/products/details/114241-024","114241-024")</f>
        <v>114241-024</v>
      </c>
      <c r="B15030" s="10" t="s">
        <v>14502</v>
      </c>
    </row>
    <row r="15031" spans="1:2" x14ac:dyDescent="0.3">
      <c r="A15031" s="7" t="str">
        <f>HYPERLINK("http://www.eatonpowersource.com/products/details/114264-002","114264-002")</f>
        <v>114264-002</v>
      </c>
      <c r="B15031" s="8" t="s">
        <v>14503</v>
      </c>
    </row>
    <row r="15032" spans="1:2" x14ac:dyDescent="0.3">
      <c r="A15032" s="9" t="str">
        <f>HYPERLINK("http://www.eatonpowersource.com/products/details/114314-004","114314-004")</f>
        <v>114314-004</v>
      </c>
      <c r="B15032" s="10" t="s">
        <v>14504</v>
      </c>
    </row>
    <row r="15033" spans="1:2" x14ac:dyDescent="0.3">
      <c r="A15033" s="7" t="str">
        <f>HYPERLINK("http://www.eatonpowersource.com/products/details/114314-009","114314-009")</f>
        <v>114314-009</v>
      </c>
      <c r="B15033" s="8" t="s">
        <v>14505</v>
      </c>
    </row>
    <row r="15034" spans="1:2" x14ac:dyDescent="0.3">
      <c r="A15034" s="9" t="str">
        <f>HYPERLINK("http://www.eatonpowersource.com/products/details/114314-010","114314-010")</f>
        <v>114314-010</v>
      </c>
      <c r="B15034" s="10" t="s">
        <v>14505</v>
      </c>
    </row>
    <row r="15035" spans="1:2" x14ac:dyDescent="0.3">
      <c r="A15035" s="7" t="str">
        <f>HYPERLINK("http://www.eatonpowersource.com/products/details/114366-005","114366-005")</f>
        <v>114366-005</v>
      </c>
      <c r="B15035" s="8" t="s">
        <v>14506</v>
      </c>
    </row>
    <row r="15036" spans="1:2" x14ac:dyDescent="0.3">
      <c r="A15036" s="9" t="str">
        <f>HYPERLINK("http://www.eatonpowersource.com/products/details/114498-001","114498-001")</f>
        <v>114498-001</v>
      </c>
      <c r="B15036" s="10" t="s">
        <v>14507</v>
      </c>
    </row>
    <row r="15037" spans="1:2" x14ac:dyDescent="0.3">
      <c r="A15037" s="7" t="str">
        <f>HYPERLINK("http://www.eatonpowersource.com/products/details/114573-000","114573-000")</f>
        <v>114573-000</v>
      </c>
      <c r="B15037" s="8" t="s">
        <v>14508</v>
      </c>
    </row>
    <row r="15038" spans="1:2" x14ac:dyDescent="0.3">
      <c r="A15038" s="9" t="str">
        <f>HYPERLINK("http://www.eatonpowersource.com/products/details/114579-000","114579-000")</f>
        <v>114579-000</v>
      </c>
      <c r="B15038" s="10" t="s">
        <v>14508</v>
      </c>
    </row>
    <row r="15039" spans="1:2" x14ac:dyDescent="0.3">
      <c r="A15039" s="7" t="str">
        <f>HYPERLINK("http://www.eatonpowersource.com/products/details/114585-000","114585-000")</f>
        <v>114585-000</v>
      </c>
      <c r="B15039" s="8" t="s">
        <v>14509</v>
      </c>
    </row>
    <row r="15040" spans="1:2" x14ac:dyDescent="0.3">
      <c r="A15040" s="9" t="str">
        <f>HYPERLINK("http://www.eatonpowersource.com/products/details/114587-001","114587-001")</f>
        <v>114587-001</v>
      </c>
      <c r="B15040" s="10" t="s">
        <v>14510</v>
      </c>
    </row>
    <row r="15041" spans="1:2" x14ac:dyDescent="0.3">
      <c r="A15041" s="7" t="str">
        <f>HYPERLINK("http://www.eatonpowersource.com/products/details/114618-000","114618-000")</f>
        <v>114618-000</v>
      </c>
      <c r="B15041" s="8" t="s">
        <v>9970</v>
      </c>
    </row>
    <row r="15042" spans="1:2" x14ac:dyDescent="0.3">
      <c r="A15042" s="9" t="str">
        <f>HYPERLINK("http://www.eatonpowersource.com/products/details/114862-675","114862-675")</f>
        <v>114862-675</v>
      </c>
      <c r="B15042" s="10" t="s">
        <v>14339</v>
      </c>
    </row>
    <row r="15043" spans="1:2" x14ac:dyDescent="0.3">
      <c r="A15043" s="7" t="str">
        <f>HYPERLINK("http://www.eatonpowersource.com/products/details/114890-000","114890-000")</f>
        <v>114890-000</v>
      </c>
      <c r="B15043" s="8" t="s">
        <v>14511</v>
      </c>
    </row>
    <row r="15044" spans="1:2" x14ac:dyDescent="0.3">
      <c r="A15044" s="9" t="str">
        <f>HYPERLINK("http://www.eatonpowersource.com/products/details/114953-030","114953-030")</f>
        <v>114953-030</v>
      </c>
      <c r="B15044" s="10" t="s">
        <v>14512</v>
      </c>
    </row>
    <row r="15045" spans="1:2" x14ac:dyDescent="0.3">
      <c r="A15045" s="7" t="str">
        <f>HYPERLINK("http://www.eatonpowersource.com/products/details/115001-023","115001-023")</f>
        <v>115001-023</v>
      </c>
      <c r="B15045" s="8" t="s">
        <v>14513</v>
      </c>
    </row>
    <row r="15046" spans="1:2" x14ac:dyDescent="0.3">
      <c r="A15046" s="9" t="str">
        <f>HYPERLINK("http://www.eatonpowersource.com/products/details/115001-025","115001-025")</f>
        <v>115001-025</v>
      </c>
      <c r="B15046" s="10" t="s">
        <v>14514</v>
      </c>
    </row>
    <row r="15047" spans="1:2" x14ac:dyDescent="0.3">
      <c r="A15047" s="7" t="str">
        <f>HYPERLINK("http://www.eatonpowersource.com/products/details/115021-001","115021-001")</f>
        <v>115021-001</v>
      </c>
      <c r="B15047" s="8" t="s">
        <v>14515</v>
      </c>
    </row>
    <row r="15048" spans="1:2" x14ac:dyDescent="0.3">
      <c r="A15048" s="9" t="str">
        <f>HYPERLINK("http://www.eatonpowersource.com/products/details/123-1008-002","123-1008-002")</f>
        <v>123-1008-002</v>
      </c>
      <c r="B15048" s="10" t="s">
        <v>14516</v>
      </c>
    </row>
    <row r="15049" spans="1:2" x14ac:dyDescent="0.3">
      <c r="A15049" s="7" t="str">
        <f>HYPERLINK("http://www.eatonpowersource.com/products/details/12745-003","12745-003")</f>
        <v>12745-003</v>
      </c>
      <c r="B15049" s="8" t="s">
        <v>14517</v>
      </c>
    </row>
    <row r="15050" spans="1:2" x14ac:dyDescent="0.3">
      <c r="A15050" s="9" t="str">
        <f>HYPERLINK("http://www.eatonpowersource.com/products/details/12745-004","12745-004")</f>
        <v>12745-004</v>
      </c>
      <c r="B15050" s="10" t="s">
        <v>14518</v>
      </c>
    </row>
    <row r="15051" spans="1:2" x14ac:dyDescent="0.3">
      <c r="A15051" s="7" t="str">
        <f>HYPERLINK("http://www.eatonpowersource.com/products/details/12778-002","12778-002")</f>
        <v>12778-002</v>
      </c>
      <c r="B15051" s="8" t="s">
        <v>14519</v>
      </c>
    </row>
    <row r="15052" spans="1:2" x14ac:dyDescent="0.3">
      <c r="A15052" s="9" t="str">
        <f>HYPERLINK("http://www.eatonpowersource.com/products/details/12989-000","12989-000")</f>
        <v>12989-000</v>
      </c>
      <c r="B15052" s="10" t="s">
        <v>14520</v>
      </c>
    </row>
    <row r="15053" spans="1:2" x14ac:dyDescent="0.3">
      <c r="A15053" s="7" t="str">
        <f>HYPERLINK("http://www.eatonpowersource.com/products/details/13280-004","13280-004")</f>
        <v>13280-004</v>
      </c>
      <c r="B15053" s="8" t="s">
        <v>14521</v>
      </c>
    </row>
    <row r="15054" spans="1:2" x14ac:dyDescent="0.3">
      <c r="A15054" s="9" t="str">
        <f>HYPERLINK("http://www.eatonpowersource.com/products/details/13307-003","13307-003")</f>
        <v>13307-003</v>
      </c>
      <c r="B15054" s="10" t="s">
        <v>14522</v>
      </c>
    </row>
    <row r="15055" spans="1:2" x14ac:dyDescent="0.3">
      <c r="A15055" s="7" t="str">
        <f>HYPERLINK("http://www.eatonpowersource.com/products/details/13521-003","13521-003")</f>
        <v>13521-003</v>
      </c>
      <c r="B15055" s="8" t="s">
        <v>14523</v>
      </c>
    </row>
    <row r="15056" spans="1:2" x14ac:dyDescent="0.3">
      <c r="A15056" s="9" t="str">
        <f>HYPERLINK("http://www.eatonpowersource.com/products/details/14092-000","14092-000")</f>
        <v>14092-000</v>
      </c>
      <c r="B15056" s="10" t="s">
        <v>14524</v>
      </c>
    </row>
    <row r="15057" spans="1:2" x14ac:dyDescent="0.3">
      <c r="A15057" s="7" t="str">
        <f>HYPERLINK("http://www.eatonpowersource.com/products/details/14163-000","14163-000")</f>
        <v>14163-000</v>
      </c>
      <c r="B15057" s="8" t="s">
        <v>14525</v>
      </c>
    </row>
    <row r="15058" spans="1:2" x14ac:dyDescent="0.3">
      <c r="A15058" s="9" t="str">
        <f>HYPERLINK("http://www.eatonpowersource.com/products/details/14193-000","14193-000")</f>
        <v>14193-000</v>
      </c>
      <c r="B15058" s="10" t="s">
        <v>9648</v>
      </c>
    </row>
    <row r="15059" spans="1:2" x14ac:dyDescent="0.3">
      <c r="A15059" s="7" t="str">
        <f>HYPERLINK("http://www.eatonpowersource.com/products/details/14230-000","14230-000")</f>
        <v>14230-000</v>
      </c>
      <c r="B15059" s="8" t="s">
        <v>14526</v>
      </c>
    </row>
    <row r="15060" spans="1:2" x14ac:dyDescent="0.3">
      <c r="A15060" s="9" t="str">
        <f>HYPERLINK("http://www.eatonpowersource.com/products/details/14253-000","14253-000")</f>
        <v>14253-000</v>
      </c>
      <c r="B15060" s="10" t="s">
        <v>14527</v>
      </c>
    </row>
    <row r="15061" spans="1:2" x14ac:dyDescent="0.3">
      <c r="A15061" s="7" t="str">
        <f>HYPERLINK("http://www.eatonpowersource.com/products/details/14317-000","14317-000")</f>
        <v>14317-000</v>
      </c>
      <c r="B15061" s="8" t="s">
        <v>14524</v>
      </c>
    </row>
    <row r="15062" spans="1:2" x14ac:dyDescent="0.3">
      <c r="A15062" s="9" t="str">
        <f>HYPERLINK("http://www.eatonpowersource.com/products/details/14351-000","14351-000")</f>
        <v>14351-000</v>
      </c>
      <c r="B15062" s="10" t="s">
        <v>14528</v>
      </c>
    </row>
    <row r="15063" spans="1:2" x14ac:dyDescent="0.3">
      <c r="A15063" s="7" t="str">
        <f>HYPERLINK("http://www.eatonpowersource.com/products/details/14381-000","14381-000")</f>
        <v>14381-000</v>
      </c>
      <c r="B15063" s="8" t="s">
        <v>14529</v>
      </c>
    </row>
    <row r="15064" spans="1:2" x14ac:dyDescent="0.3">
      <c r="A15064" s="9" t="str">
        <f>HYPERLINK("http://www.eatonpowersource.com/products/details/14384-001","14384-001")</f>
        <v>14384-001</v>
      </c>
      <c r="B15064" s="10" t="s">
        <v>14530</v>
      </c>
    </row>
    <row r="15065" spans="1:2" x14ac:dyDescent="0.3">
      <c r="A15065" s="7" t="str">
        <f>HYPERLINK("http://www.eatonpowersource.com/products/details/14384-002","14384-002")</f>
        <v>14384-002</v>
      </c>
      <c r="B15065" s="8" t="s">
        <v>14530</v>
      </c>
    </row>
    <row r="15066" spans="1:2" x14ac:dyDescent="0.3">
      <c r="A15066" s="9" t="str">
        <f>HYPERLINK("http://www.eatonpowersource.com/products/details/14384-003","14384-003")</f>
        <v>14384-003</v>
      </c>
      <c r="B15066" s="10" t="s">
        <v>14530</v>
      </c>
    </row>
    <row r="15067" spans="1:2" x14ac:dyDescent="0.3">
      <c r="A15067" s="7" t="str">
        <f>HYPERLINK("http://www.eatonpowersource.com/products/details/14384-004","14384-004")</f>
        <v>14384-004</v>
      </c>
      <c r="B15067" s="8" t="s">
        <v>14530</v>
      </c>
    </row>
    <row r="15068" spans="1:2" x14ac:dyDescent="0.3">
      <c r="A15068" s="9" t="str">
        <f>HYPERLINK("http://www.eatonpowersource.com/products/details/14384-006","14384-006")</f>
        <v>14384-006</v>
      </c>
      <c r="B15068" s="10" t="s">
        <v>14530</v>
      </c>
    </row>
    <row r="15069" spans="1:2" x14ac:dyDescent="0.3">
      <c r="A15069" s="7" t="str">
        <f>HYPERLINK("http://www.eatonpowersource.com/products/details/14384-007","14384-007")</f>
        <v>14384-007</v>
      </c>
      <c r="B15069" s="8" t="s">
        <v>14530</v>
      </c>
    </row>
    <row r="15070" spans="1:2" x14ac:dyDescent="0.3">
      <c r="A15070" s="9" t="str">
        <f>HYPERLINK("http://www.eatonpowersource.com/products/details/14384-008","14384-008")</f>
        <v>14384-008</v>
      </c>
      <c r="B15070" s="10" t="s">
        <v>14530</v>
      </c>
    </row>
    <row r="15071" spans="1:2" x14ac:dyDescent="0.3">
      <c r="A15071" s="7" t="str">
        <f>HYPERLINK("http://www.eatonpowersource.com/products/details/14384-010","14384-010")</f>
        <v>14384-010</v>
      </c>
      <c r="B15071" s="8" t="s">
        <v>14531</v>
      </c>
    </row>
    <row r="15072" spans="1:2" x14ac:dyDescent="0.3">
      <c r="A15072" s="9" t="str">
        <f>HYPERLINK("http://www.eatonpowersource.com/products/details/14384-012","14384-012")</f>
        <v>14384-012</v>
      </c>
      <c r="B15072" s="10" t="s">
        <v>14531</v>
      </c>
    </row>
    <row r="15073" spans="1:2" x14ac:dyDescent="0.3">
      <c r="A15073" s="7" t="str">
        <f>HYPERLINK("http://www.eatonpowersource.com/products/details/14384-014","14384-014")</f>
        <v>14384-014</v>
      </c>
      <c r="B15073" s="8" t="s">
        <v>14532</v>
      </c>
    </row>
    <row r="15074" spans="1:2" x14ac:dyDescent="0.3">
      <c r="A15074" s="9" t="str">
        <f>HYPERLINK("http://www.eatonpowersource.com/products/details/14384-019","14384-019")</f>
        <v>14384-019</v>
      </c>
      <c r="B15074" s="10" t="s">
        <v>14530</v>
      </c>
    </row>
    <row r="15075" spans="1:2" x14ac:dyDescent="0.3">
      <c r="A15075" s="7" t="str">
        <f>HYPERLINK("http://www.eatonpowersource.com/products/details/14384-020","14384-020")</f>
        <v>14384-020</v>
      </c>
      <c r="B15075" s="8" t="s">
        <v>14530</v>
      </c>
    </row>
    <row r="15076" spans="1:2" x14ac:dyDescent="0.3">
      <c r="A15076" s="9" t="str">
        <f>HYPERLINK("http://www.eatonpowersource.com/products/details/14384-021","14384-021")</f>
        <v>14384-021</v>
      </c>
      <c r="B15076" s="10" t="s">
        <v>14533</v>
      </c>
    </row>
    <row r="15077" spans="1:2" x14ac:dyDescent="0.3">
      <c r="A15077" s="7" t="str">
        <f>HYPERLINK("http://www.eatonpowersource.com/products/details/14384-022","14384-022")</f>
        <v>14384-022</v>
      </c>
      <c r="B15077" s="8" t="s">
        <v>14533</v>
      </c>
    </row>
    <row r="15078" spans="1:2" x14ac:dyDescent="0.3">
      <c r="A15078" s="9" t="str">
        <f>HYPERLINK("http://www.eatonpowersource.com/products/details/14384-032","14384-032")</f>
        <v>14384-032</v>
      </c>
      <c r="B15078" s="10" t="s">
        <v>14530</v>
      </c>
    </row>
    <row r="15079" spans="1:2" x14ac:dyDescent="0.3">
      <c r="A15079" s="7" t="str">
        <f>HYPERLINK("http://www.eatonpowersource.com/products/details/14386-003","14386-003")</f>
        <v>14386-003</v>
      </c>
      <c r="B15079" s="8" t="s">
        <v>14534</v>
      </c>
    </row>
    <row r="15080" spans="1:2" x14ac:dyDescent="0.3">
      <c r="A15080" s="9" t="str">
        <f>HYPERLINK("http://www.eatonpowersource.com/products/details/14386-005","14386-005")</f>
        <v>14386-005</v>
      </c>
      <c r="B15080" s="10" t="s">
        <v>14535</v>
      </c>
    </row>
    <row r="15081" spans="1:2" x14ac:dyDescent="0.3">
      <c r="A15081" s="7" t="str">
        <f>HYPERLINK("http://www.eatonpowersource.com/products/details/14386-007","14386-007")</f>
        <v>14386-007</v>
      </c>
      <c r="B15081" s="8" t="s">
        <v>14536</v>
      </c>
    </row>
    <row r="15082" spans="1:2" x14ac:dyDescent="0.3">
      <c r="A15082" s="9" t="str">
        <f>HYPERLINK("http://www.eatonpowersource.com/products/details/14386-008","14386-008")</f>
        <v>14386-008</v>
      </c>
      <c r="B15082" s="10" t="s">
        <v>14537</v>
      </c>
    </row>
    <row r="15083" spans="1:2" x14ac:dyDescent="0.3">
      <c r="A15083" s="7" t="str">
        <f>HYPERLINK("http://www.eatonpowersource.com/products/details/14386-009","14386-009")</f>
        <v>14386-009</v>
      </c>
      <c r="B15083" s="8" t="s">
        <v>14538</v>
      </c>
    </row>
    <row r="15084" spans="1:2" x14ac:dyDescent="0.3">
      <c r="A15084" s="9" t="str">
        <f>HYPERLINK("http://www.eatonpowersource.com/products/details/14386-010","14386-010")</f>
        <v>14386-010</v>
      </c>
      <c r="B15084" s="10" t="s">
        <v>14534</v>
      </c>
    </row>
    <row r="15085" spans="1:2" x14ac:dyDescent="0.3">
      <c r="A15085" s="7" t="str">
        <f>HYPERLINK("http://www.eatonpowersource.com/products/details/14386-011","14386-011")</f>
        <v>14386-011</v>
      </c>
      <c r="B15085" s="8" t="s">
        <v>14539</v>
      </c>
    </row>
    <row r="15086" spans="1:2" x14ac:dyDescent="0.3">
      <c r="A15086" s="9" t="str">
        <f>HYPERLINK("http://www.eatonpowersource.com/products/details/14386-013","14386-013")</f>
        <v>14386-013</v>
      </c>
      <c r="B15086" s="10" t="s">
        <v>9644</v>
      </c>
    </row>
    <row r="15087" spans="1:2" x14ac:dyDescent="0.3">
      <c r="A15087" s="7" t="str">
        <f>HYPERLINK("http://www.eatonpowersource.com/products/details/14392-005","14392-005")</f>
        <v>14392-005</v>
      </c>
      <c r="B15087" s="8" t="s">
        <v>14540</v>
      </c>
    </row>
    <row r="15088" spans="1:2" x14ac:dyDescent="0.3">
      <c r="A15088" s="9" t="str">
        <f>HYPERLINK("http://www.eatonpowersource.com/products/details/14392-006","14392-006")</f>
        <v>14392-006</v>
      </c>
      <c r="B15088" s="10" t="s">
        <v>14541</v>
      </c>
    </row>
    <row r="15089" spans="1:2" x14ac:dyDescent="0.3">
      <c r="A15089" s="7" t="str">
        <f>HYPERLINK("http://www.eatonpowersource.com/products/details/14392-008","14392-008")</f>
        <v>14392-008</v>
      </c>
      <c r="B15089" s="8" t="s">
        <v>14541</v>
      </c>
    </row>
    <row r="15090" spans="1:2" x14ac:dyDescent="0.3">
      <c r="A15090" s="9" t="str">
        <f>HYPERLINK("http://www.eatonpowersource.com/products/details/14392-011","14392-011")</f>
        <v>14392-011</v>
      </c>
      <c r="B15090" s="10" t="s">
        <v>14542</v>
      </c>
    </row>
    <row r="15091" spans="1:2" x14ac:dyDescent="0.3">
      <c r="A15091" s="7" t="str">
        <f>HYPERLINK("http://www.eatonpowersource.com/products/details/14393-009","14393-009")</f>
        <v>14393-009</v>
      </c>
      <c r="B15091" s="8" t="s">
        <v>14543</v>
      </c>
    </row>
    <row r="15092" spans="1:2" x14ac:dyDescent="0.3">
      <c r="A15092" s="9" t="str">
        <f>HYPERLINK("http://www.eatonpowersource.com/products/details/14393-010","14393-010")</f>
        <v>14393-010</v>
      </c>
      <c r="B15092" s="10" t="s">
        <v>14544</v>
      </c>
    </row>
    <row r="15093" spans="1:2" x14ac:dyDescent="0.3">
      <c r="A15093" s="7" t="str">
        <f>HYPERLINK("http://www.eatonpowersource.com/products/details/14394-007","14394-007")</f>
        <v>14394-007</v>
      </c>
      <c r="B15093" s="8" t="s">
        <v>14545</v>
      </c>
    </row>
    <row r="15094" spans="1:2" x14ac:dyDescent="0.3">
      <c r="A15094" s="9" t="str">
        <f>HYPERLINK("http://www.eatonpowersource.com/products/details/14395-016","14395-016")</f>
        <v>14395-016</v>
      </c>
      <c r="B15094" s="10" t="s">
        <v>14546</v>
      </c>
    </row>
    <row r="15095" spans="1:2" x14ac:dyDescent="0.3">
      <c r="A15095" s="7" t="str">
        <f>HYPERLINK("http://www.eatonpowersource.com/products/details/14396-012","14396-012")</f>
        <v>14396-012</v>
      </c>
      <c r="B15095" s="8" t="s">
        <v>14547</v>
      </c>
    </row>
    <row r="15096" spans="1:2" x14ac:dyDescent="0.3">
      <c r="A15096" s="9" t="str">
        <f>HYPERLINK("http://www.eatonpowersource.com/products/details/14409-002","14409-002")</f>
        <v>14409-002</v>
      </c>
      <c r="B15096" s="10" t="s">
        <v>14548</v>
      </c>
    </row>
    <row r="15097" spans="1:2" x14ac:dyDescent="0.3">
      <c r="A15097" s="7" t="str">
        <f>HYPERLINK("http://www.eatonpowersource.com/products/details/14409-003","14409-003")</f>
        <v>14409-003</v>
      </c>
      <c r="B15097" s="8" t="s">
        <v>14549</v>
      </c>
    </row>
    <row r="15098" spans="1:2" x14ac:dyDescent="0.3">
      <c r="A15098" s="9" t="str">
        <f>HYPERLINK("http://www.eatonpowersource.com/products/details/14409-004","14409-004")</f>
        <v>14409-004</v>
      </c>
      <c r="B15098" s="10" t="s">
        <v>14548</v>
      </c>
    </row>
    <row r="15099" spans="1:2" x14ac:dyDescent="0.3">
      <c r="A15099" s="7" t="str">
        <f>HYPERLINK("http://www.eatonpowersource.com/products/details/14409-005","14409-005")</f>
        <v>14409-005</v>
      </c>
      <c r="B15099" s="8" t="s">
        <v>14548</v>
      </c>
    </row>
    <row r="15100" spans="1:2" x14ac:dyDescent="0.3">
      <c r="A15100" s="9" t="str">
        <f>HYPERLINK("http://www.eatonpowersource.com/products/details/14409-006","14409-006")</f>
        <v>14409-006</v>
      </c>
      <c r="B15100" s="10" t="s">
        <v>14548</v>
      </c>
    </row>
    <row r="15101" spans="1:2" x14ac:dyDescent="0.3">
      <c r="A15101" s="7" t="str">
        <f>HYPERLINK("http://www.eatonpowersource.com/products/details/14409-007","14409-007")</f>
        <v>14409-007</v>
      </c>
      <c r="B15101" s="8" t="s">
        <v>14550</v>
      </c>
    </row>
    <row r="15102" spans="1:2" x14ac:dyDescent="0.3">
      <c r="A15102" s="9" t="str">
        <f>HYPERLINK("http://www.eatonpowersource.com/products/details/14409-008","14409-008")</f>
        <v>14409-008</v>
      </c>
      <c r="B15102" s="10" t="s">
        <v>14548</v>
      </c>
    </row>
    <row r="15103" spans="1:2" x14ac:dyDescent="0.3">
      <c r="A15103" s="7" t="str">
        <f>HYPERLINK("http://www.eatonpowersource.com/products/details/14409-010","14409-010")</f>
        <v>14409-010</v>
      </c>
      <c r="B15103" s="8" t="s">
        <v>14548</v>
      </c>
    </row>
    <row r="15104" spans="1:2" x14ac:dyDescent="0.3">
      <c r="A15104" s="9" t="str">
        <f>HYPERLINK("http://www.eatonpowersource.com/products/details/14409-012","14409-012")</f>
        <v>14409-012</v>
      </c>
      <c r="B15104" s="10" t="s">
        <v>14548</v>
      </c>
    </row>
    <row r="15105" spans="1:2" x14ac:dyDescent="0.3">
      <c r="A15105" s="7" t="str">
        <f>HYPERLINK("http://www.eatonpowersource.com/products/details/14409-013","14409-013")</f>
        <v>14409-013</v>
      </c>
      <c r="B15105" s="8" t="s">
        <v>14548</v>
      </c>
    </row>
    <row r="15106" spans="1:2" x14ac:dyDescent="0.3">
      <c r="A15106" s="9" t="str">
        <f>HYPERLINK("http://www.eatonpowersource.com/products/details/14409-022","14409-022")</f>
        <v>14409-022</v>
      </c>
      <c r="B15106" s="10" t="s">
        <v>14551</v>
      </c>
    </row>
    <row r="15107" spans="1:2" x14ac:dyDescent="0.3">
      <c r="A15107" s="7" t="str">
        <f>HYPERLINK("http://www.eatonpowersource.com/products/details/14410-003","14410-003")</f>
        <v>14410-003</v>
      </c>
      <c r="B15107" s="8" t="s">
        <v>14552</v>
      </c>
    </row>
    <row r="15108" spans="1:2" x14ac:dyDescent="0.3">
      <c r="A15108" s="9" t="str">
        <f>HYPERLINK("http://www.eatonpowersource.com/products/details/14410-004","14410-004")</f>
        <v>14410-004</v>
      </c>
      <c r="B15108" s="10" t="s">
        <v>14553</v>
      </c>
    </row>
    <row r="15109" spans="1:2" x14ac:dyDescent="0.3">
      <c r="A15109" s="7" t="str">
        <f>HYPERLINK("http://www.eatonpowersource.com/products/details/14410-005","14410-005")</f>
        <v>14410-005</v>
      </c>
      <c r="B15109" s="8" t="s">
        <v>14553</v>
      </c>
    </row>
    <row r="15110" spans="1:2" x14ac:dyDescent="0.3">
      <c r="A15110" s="9" t="str">
        <f>HYPERLINK("http://www.eatonpowersource.com/products/details/14410-007","14410-007")</f>
        <v>14410-007</v>
      </c>
      <c r="B15110" s="10" t="s">
        <v>14554</v>
      </c>
    </row>
    <row r="15111" spans="1:2" x14ac:dyDescent="0.3">
      <c r="A15111" s="7" t="str">
        <f>HYPERLINK("http://www.eatonpowersource.com/products/details/14410-008","14410-008")</f>
        <v>14410-008</v>
      </c>
      <c r="B15111" s="8" t="s">
        <v>14553</v>
      </c>
    </row>
    <row r="15112" spans="1:2" x14ac:dyDescent="0.3">
      <c r="A15112" s="9" t="str">
        <f>HYPERLINK("http://www.eatonpowersource.com/products/details/14410-009","14410-009")</f>
        <v>14410-009</v>
      </c>
      <c r="B15112" s="10" t="s">
        <v>14553</v>
      </c>
    </row>
    <row r="15113" spans="1:2" x14ac:dyDescent="0.3">
      <c r="A15113" s="7" t="str">
        <f>HYPERLINK("http://www.eatonpowersource.com/products/details/14410-010","14410-010")</f>
        <v>14410-010</v>
      </c>
      <c r="B15113" s="8" t="s">
        <v>14555</v>
      </c>
    </row>
    <row r="15114" spans="1:2" x14ac:dyDescent="0.3">
      <c r="A15114" s="9" t="str">
        <f>HYPERLINK("http://www.eatonpowersource.com/products/details/14410-011","14410-011")</f>
        <v>14410-011</v>
      </c>
      <c r="B15114" s="10" t="s">
        <v>14553</v>
      </c>
    </row>
    <row r="15115" spans="1:2" x14ac:dyDescent="0.3">
      <c r="A15115" s="7" t="str">
        <f>HYPERLINK("http://www.eatonpowersource.com/products/details/14458-006","14458-006")</f>
        <v>14458-006</v>
      </c>
      <c r="B15115" s="8" t="s">
        <v>14556</v>
      </c>
    </row>
    <row r="15116" spans="1:2" x14ac:dyDescent="0.3">
      <c r="A15116" s="9" t="str">
        <f>HYPERLINK("http://www.eatonpowersource.com/products/details/14458-007","14458-007")</f>
        <v>14458-007</v>
      </c>
      <c r="B15116" s="10" t="s">
        <v>14557</v>
      </c>
    </row>
    <row r="15117" spans="1:2" x14ac:dyDescent="0.3">
      <c r="A15117" s="7" t="str">
        <f>HYPERLINK("http://www.eatonpowersource.com/products/details/14460-005","14460-005")</f>
        <v>14460-005</v>
      </c>
      <c r="B15117" s="8" t="s">
        <v>14558</v>
      </c>
    </row>
    <row r="15118" spans="1:2" x14ac:dyDescent="0.3">
      <c r="A15118" s="9" t="str">
        <f>HYPERLINK("http://www.eatonpowersource.com/products/details/14462-006","14462-006")</f>
        <v>14462-006</v>
      </c>
      <c r="B15118" s="10" t="s">
        <v>14559</v>
      </c>
    </row>
    <row r="15119" spans="1:2" x14ac:dyDescent="0.3">
      <c r="A15119" s="7" t="str">
        <f>HYPERLINK("http://www.eatonpowersource.com/products/details/14502-012","14502-012")</f>
        <v>14502-012</v>
      </c>
      <c r="B15119" s="8" t="s">
        <v>14560</v>
      </c>
    </row>
    <row r="15120" spans="1:2" x14ac:dyDescent="0.3">
      <c r="A15120" s="9" t="str">
        <f>HYPERLINK("http://www.eatonpowersource.com/products/details/14502-040","14502-040")</f>
        <v>14502-040</v>
      </c>
      <c r="B15120" s="10" t="s">
        <v>14561</v>
      </c>
    </row>
    <row r="15121" spans="1:2" x14ac:dyDescent="0.3">
      <c r="A15121" s="7" t="str">
        <f>HYPERLINK("http://www.eatonpowersource.com/products/details/14502-109","14502-109")</f>
        <v>14502-109</v>
      </c>
      <c r="B15121" s="8" t="s">
        <v>14562</v>
      </c>
    </row>
    <row r="15122" spans="1:2" x14ac:dyDescent="0.3">
      <c r="A15122" s="9" t="str">
        <f>HYPERLINK("http://www.eatonpowersource.com/products/details/14530-001","14530-001")</f>
        <v>14530-001</v>
      </c>
      <c r="B15122" s="10" t="s">
        <v>14563</v>
      </c>
    </row>
    <row r="15123" spans="1:2" x14ac:dyDescent="0.3">
      <c r="A15123" s="7" t="str">
        <f>HYPERLINK("http://www.eatonpowersource.com/products/details/14544-000","14544-000")</f>
        <v>14544-000</v>
      </c>
      <c r="B15123" s="8" t="s">
        <v>10041</v>
      </c>
    </row>
    <row r="15124" spans="1:2" x14ac:dyDescent="0.3">
      <c r="A15124" s="9" t="str">
        <f>HYPERLINK("http://www.eatonpowersource.com/products/details/14559-015","14559-015")</f>
        <v>14559-015</v>
      </c>
      <c r="B15124" s="10" t="s">
        <v>14564</v>
      </c>
    </row>
    <row r="15125" spans="1:2" x14ac:dyDescent="0.3">
      <c r="A15125" s="7" t="str">
        <f>HYPERLINK("http://www.eatonpowersource.com/products/details/14600-001","14600-001")</f>
        <v>14600-001</v>
      </c>
      <c r="B15125" s="8" t="s">
        <v>14565</v>
      </c>
    </row>
    <row r="15126" spans="1:2" x14ac:dyDescent="0.3">
      <c r="A15126" s="9" t="str">
        <f>HYPERLINK("http://www.eatonpowersource.com/products/details/14606-000","14606-000")</f>
        <v>14606-000</v>
      </c>
      <c r="B15126" s="10" t="s">
        <v>7724</v>
      </c>
    </row>
    <row r="15127" spans="1:2" x14ac:dyDescent="0.3">
      <c r="A15127" s="7" t="str">
        <f>HYPERLINK("http://www.eatonpowersource.com/products/details/14607-000","14607-000")</f>
        <v>14607-000</v>
      </c>
      <c r="B15127" s="8" t="s">
        <v>14566</v>
      </c>
    </row>
    <row r="15128" spans="1:2" x14ac:dyDescent="0.3">
      <c r="A15128" s="9" t="str">
        <f>HYPERLINK("http://www.eatonpowersource.com/products/details/14628-002","14628-002")</f>
        <v>14628-002</v>
      </c>
      <c r="B15128" s="10" t="s">
        <v>14567</v>
      </c>
    </row>
    <row r="15129" spans="1:2" x14ac:dyDescent="0.3">
      <c r="A15129" s="7" t="str">
        <f>HYPERLINK("http://www.eatonpowersource.com/products/details/14628-004","14628-004")</f>
        <v>14628-004</v>
      </c>
      <c r="B15129" s="8" t="s">
        <v>14568</v>
      </c>
    </row>
    <row r="15130" spans="1:2" x14ac:dyDescent="0.3">
      <c r="A15130" s="9" t="str">
        <f>HYPERLINK("http://www.eatonpowersource.com/products/details/14628-005","14628-005")</f>
        <v>14628-005</v>
      </c>
      <c r="B15130" s="10" t="s">
        <v>14569</v>
      </c>
    </row>
    <row r="15131" spans="1:2" x14ac:dyDescent="0.3">
      <c r="A15131" s="7" t="str">
        <f>HYPERLINK("http://www.eatonpowersource.com/products/details/14628-006","14628-006")</f>
        <v>14628-006</v>
      </c>
      <c r="B15131" s="8" t="s">
        <v>14570</v>
      </c>
    </row>
    <row r="15132" spans="1:2" x14ac:dyDescent="0.3">
      <c r="A15132" s="9" t="str">
        <f>HYPERLINK("http://www.eatonpowersource.com/products/details/14628-007","14628-007")</f>
        <v>14628-007</v>
      </c>
      <c r="B15132" s="10" t="s">
        <v>14571</v>
      </c>
    </row>
    <row r="15133" spans="1:2" x14ac:dyDescent="0.3">
      <c r="A15133" s="7" t="str">
        <f>HYPERLINK("http://www.eatonpowersource.com/products/details/14628-009","14628-009")</f>
        <v>14628-009</v>
      </c>
      <c r="B15133" s="8" t="s">
        <v>14572</v>
      </c>
    </row>
    <row r="15134" spans="1:2" x14ac:dyDescent="0.3">
      <c r="A15134" s="9" t="str">
        <f>HYPERLINK("http://www.eatonpowersource.com/products/details/14628-011","14628-011")</f>
        <v>14628-011</v>
      </c>
      <c r="B15134" s="10" t="s">
        <v>14573</v>
      </c>
    </row>
    <row r="15135" spans="1:2" x14ac:dyDescent="0.3">
      <c r="A15135" s="7" t="str">
        <f>HYPERLINK("http://www.eatonpowersource.com/products/details/14628-012","14628-012")</f>
        <v>14628-012</v>
      </c>
      <c r="B15135" s="8" t="s">
        <v>14574</v>
      </c>
    </row>
    <row r="15136" spans="1:2" x14ac:dyDescent="0.3">
      <c r="A15136" s="9" t="str">
        <f>HYPERLINK("http://www.eatonpowersource.com/products/details/14643-007","14643-007")</f>
        <v>14643-007</v>
      </c>
      <c r="B15136" s="10" t="s">
        <v>14575</v>
      </c>
    </row>
    <row r="15137" spans="1:2" x14ac:dyDescent="0.3">
      <c r="A15137" s="7" t="str">
        <f>HYPERLINK("http://www.eatonpowersource.com/products/details/14643-021","14643-021")</f>
        <v>14643-021</v>
      </c>
      <c r="B15137" s="8" t="s">
        <v>14497</v>
      </c>
    </row>
    <row r="15138" spans="1:2" x14ac:dyDescent="0.3">
      <c r="A15138" s="9" t="str">
        <f>HYPERLINK("http://www.eatonpowersource.com/products/details/14654-031","14654-031")</f>
        <v>14654-031</v>
      </c>
      <c r="B15138" s="10" t="s">
        <v>14576</v>
      </c>
    </row>
    <row r="15139" spans="1:2" x14ac:dyDescent="0.3">
      <c r="A15139" s="7" t="str">
        <f>HYPERLINK("http://www.eatonpowersource.com/products/details/14654-036","14654-036")</f>
        <v>14654-036</v>
      </c>
      <c r="B15139" s="8" t="s">
        <v>14577</v>
      </c>
    </row>
    <row r="15140" spans="1:2" x14ac:dyDescent="0.3">
      <c r="A15140" s="9" t="str">
        <f>HYPERLINK("http://www.eatonpowersource.com/products/details/14654-040","14654-040")</f>
        <v>14654-040</v>
      </c>
      <c r="B15140" s="10" t="s">
        <v>14577</v>
      </c>
    </row>
    <row r="15141" spans="1:2" x14ac:dyDescent="0.3">
      <c r="A15141" s="7" t="str">
        <f>HYPERLINK("http://www.eatonpowersource.com/products/details/14686-001","14686-001")</f>
        <v>14686-001</v>
      </c>
      <c r="B15141" s="8" t="s">
        <v>14578</v>
      </c>
    </row>
    <row r="15142" spans="1:2" x14ac:dyDescent="0.3">
      <c r="A15142" s="9" t="str">
        <f>HYPERLINK("http://www.eatonpowersource.com/products/details/14709-002","14709-002")</f>
        <v>14709-002</v>
      </c>
      <c r="B15142" s="10" t="s">
        <v>14579</v>
      </c>
    </row>
    <row r="15143" spans="1:2" x14ac:dyDescent="0.3">
      <c r="A15143" s="7" t="str">
        <f>HYPERLINK("http://www.eatonpowersource.com/products/details/14813-001","14813-001")</f>
        <v>14813-001</v>
      </c>
      <c r="B15143" s="8" t="s">
        <v>14580</v>
      </c>
    </row>
    <row r="15144" spans="1:2" x14ac:dyDescent="0.3">
      <c r="A15144" s="9" t="str">
        <f>HYPERLINK("http://www.eatonpowersource.com/products/details/14841-001","14841-001")</f>
        <v>14841-001</v>
      </c>
      <c r="B15144" s="10" t="s">
        <v>14581</v>
      </c>
    </row>
    <row r="15145" spans="1:2" x14ac:dyDescent="0.3">
      <c r="A15145" s="7" t="str">
        <f>HYPERLINK("http://www.eatonpowersource.com/products/details/14848-001","14848-001")</f>
        <v>14848-001</v>
      </c>
      <c r="B15145" s="8" t="s">
        <v>9648</v>
      </c>
    </row>
    <row r="15146" spans="1:2" x14ac:dyDescent="0.3">
      <c r="A15146" s="9" t="str">
        <f>HYPERLINK("http://www.eatonpowersource.com/products/details/14850-001","14850-001")</f>
        <v>14850-001</v>
      </c>
      <c r="B15146" s="10" t="s">
        <v>14582</v>
      </c>
    </row>
    <row r="15147" spans="1:2" x14ac:dyDescent="0.3">
      <c r="A15147" s="7" t="str">
        <f>HYPERLINK("http://www.eatonpowersource.com/products/details/14853-001","14853-001")</f>
        <v>14853-001</v>
      </c>
      <c r="B15147" s="8" t="s">
        <v>14583</v>
      </c>
    </row>
    <row r="15148" spans="1:2" x14ac:dyDescent="0.3">
      <c r="A15148" s="9" t="str">
        <f>HYPERLINK("http://www.eatonpowersource.com/products/details/14878-001","14878-001")</f>
        <v>14878-001</v>
      </c>
      <c r="B15148" s="10" t="s">
        <v>14584</v>
      </c>
    </row>
    <row r="15149" spans="1:2" x14ac:dyDescent="0.3">
      <c r="A15149" s="7" t="str">
        <f>HYPERLINK("http://www.eatonpowersource.com/products/details/15039-000","15039-000")</f>
        <v>15039-000</v>
      </c>
      <c r="B15149" s="8" t="s">
        <v>14585</v>
      </c>
    </row>
    <row r="15150" spans="1:2" x14ac:dyDescent="0.3">
      <c r="A15150" s="9" t="str">
        <f>HYPERLINK("http://www.eatonpowersource.com/products/details/15042-000","15042-000")</f>
        <v>15042-000</v>
      </c>
      <c r="B15150" s="10" t="s">
        <v>14586</v>
      </c>
    </row>
    <row r="15151" spans="1:2" x14ac:dyDescent="0.3">
      <c r="A15151" s="7" t="str">
        <f>HYPERLINK("http://www.eatonpowersource.com/products/details/15045-000","15045-000")</f>
        <v>15045-000</v>
      </c>
      <c r="B15151" s="8" t="s">
        <v>14587</v>
      </c>
    </row>
    <row r="15152" spans="1:2" x14ac:dyDescent="0.3">
      <c r="A15152" s="9" t="str">
        <f>HYPERLINK("http://www.eatonpowersource.com/products/details/15058-000","15058-000")</f>
        <v>15058-000</v>
      </c>
      <c r="B15152" s="10" t="s">
        <v>14281</v>
      </c>
    </row>
    <row r="15153" spans="1:2" x14ac:dyDescent="0.3">
      <c r="A15153" s="7" t="str">
        <f>HYPERLINK("http://www.eatonpowersource.com/products/details/15074-000","15074-000")</f>
        <v>15074-000</v>
      </c>
      <c r="B15153" s="8" t="s">
        <v>9968</v>
      </c>
    </row>
    <row r="15154" spans="1:2" x14ac:dyDescent="0.3">
      <c r="A15154" s="9" t="str">
        <f>HYPERLINK("http://www.eatonpowersource.com/products/details/15128-000","15128-000")</f>
        <v>15128-000</v>
      </c>
      <c r="B15154" s="10" t="s">
        <v>14588</v>
      </c>
    </row>
    <row r="15155" spans="1:2" x14ac:dyDescent="0.3">
      <c r="A15155" s="7" t="str">
        <f>HYPERLINK("http://www.eatonpowersource.com/products/details/15147-281","15147-281")</f>
        <v>15147-281</v>
      </c>
      <c r="B15155" s="8" t="s">
        <v>10004</v>
      </c>
    </row>
    <row r="15156" spans="1:2" x14ac:dyDescent="0.3">
      <c r="A15156" s="9" t="str">
        <f>HYPERLINK("http://www.eatonpowersource.com/products/details/15222-20","15222-20")</f>
        <v>15222-20</v>
      </c>
      <c r="B15156" s="10" t="s">
        <v>9648</v>
      </c>
    </row>
    <row r="15157" spans="1:2" x14ac:dyDescent="0.3">
      <c r="A15157" s="7" t="str">
        <f>HYPERLINK("http://www.eatonpowersource.com/products/details/15440-317","15440-317")</f>
        <v>15440-317</v>
      </c>
      <c r="B15157" s="8" t="s">
        <v>14589</v>
      </c>
    </row>
    <row r="15158" spans="1:2" x14ac:dyDescent="0.3">
      <c r="A15158" s="9" t="str">
        <f>HYPERLINK("http://www.eatonpowersource.com/products/details/16003-23","16003-23")</f>
        <v>16003-23</v>
      </c>
      <c r="B15158" s="10" t="s">
        <v>14281</v>
      </c>
    </row>
    <row r="15159" spans="1:2" x14ac:dyDescent="0.3">
      <c r="A15159" s="7" t="str">
        <f>HYPERLINK("http://www.eatonpowersource.com/products/details/16003-405-90","16003-405-90")</f>
        <v>16003-405-90</v>
      </c>
      <c r="B15159" s="8" t="s">
        <v>14281</v>
      </c>
    </row>
    <row r="15160" spans="1:2" x14ac:dyDescent="0.3">
      <c r="A15160" s="9" t="str">
        <f>HYPERLINK("http://www.eatonpowersource.com/products/details/16003-5","16003-5")</f>
        <v>16003-5</v>
      </c>
      <c r="B15160" s="10" t="s">
        <v>9968</v>
      </c>
    </row>
    <row r="15161" spans="1:2" x14ac:dyDescent="0.3">
      <c r="A15161" s="7" t="str">
        <f>HYPERLINK("http://www.eatonpowersource.com/products/details/16003-6","16003-6")</f>
        <v>16003-6</v>
      </c>
      <c r="B15161" s="8" t="s">
        <v>14281</v>
      </c>
    </row>
    <row r="15162" spans="1:2" x14ac:dyDescent="0.3">
      <c r="A15162" s="9" t="str">
        <f>HYPERLINK("http://www.eatonpowersource.com/products/details/16004-3","16004-3")</f>
        <v>16004-3</v>
      </c>
      <c r="B15162" s="10" t="s">
        <v>14281</v>
      </c>
    </row>
    <row r="15163" spans="1:2" x14ac:dyDescent="0.3">
      <c r="A15163" s="7" t="str">
        <f>HYPERLINK("http://www.eatonpowersource.com/products/details/16004-403","16004-403")</f>
        <v>16004-403</v>
      </c>
      <c r="B15163" s="8" t="s">
        <v>14281</v>
      </c>
    </row>
    <row r="15164" spans="1:2" x14ac:dyDescent="0.3">
      <c r="A15164" s="9" t="str">
        <f>HYPERLINK("http://www.eatonpowersource.com/products/details/16007-14","16007-14")</f>
        <v>16007-14</v>
      </c>
      <c r="B15164" s="10" t="s">
        <v>14281</v>
      </c>
    </row>
    <row r="15165" spans="1:2" x14ac:dyDescent="0.3">
      <c r="A15165" s="7" t="str">
        <f>HYPERLINK("http://www.eatonpowersource.com/products/details/16007-17","16007-17")</f>
        <v>16007-17</v>
      </c>
      <c r="B15165" s="8" t="s">
        <v>14281</v>
      </c>
    </row>
    <row r="15166" spans="1:2" x14ac:dyDescent="0.3">
      <c r="A15166" s="9" t="str">
        <f>HYPERLINK("http://www.eatonpowersource.com/products/details/16011-312","16011-312")</f>
        <v>16011-312</v>
      </c>
      <c r="B15166" s="10" t="s">
        <v>8630</v>
      </c>
    </row>
    <row r="15167" spans="1:2" x14ac:dyDescent="0.3">
      <c r="A15167" s="7" t="str">
        <f>HYPERLINK("http://www.eatonpowersource.com/products/details/16015-18-90","16015-18-90")</f>
        <v>16015-18-90</v>
      </c>
      <c r="B15167" s="8" t="s">
        <v>14281</v>
      </c>
    </row>
    <row r="15168" spans="1:2" x14ac:dyDescent="0.3">
      <c r="A15168" s="9" t="str">
        <f>HYPERLINK("http://www.eatonpowersource.com/products/details/16015-2","16015-2")</f>
        <v>16015-2</v>
      </c>
      <c r="B15168" s="10" t="s">
        <v>14281</v>
      </c>
    </row>
    <row r="15169" spans="1:2" x14ac:dyDescent="0.3">
      <c r="A15169" s="7" t="str">
        <f>HYPERLINK("http://www.eatonpowersource.com/products/details/16015-27","16015-27")</f>
        <v>16015-27</v>
      </c>
      <c r="B15169" s="8" t="s">
        <v>14281</v>
      </c>
    </row>
    <row r="15170" spans="1:2" x14ac:dyDescent="0.3">
      <c r="A15170" s="9" t="str">
        <f>HYPERLINK("http://www.eatonpowersource.com/products/details/16015-58-90","16015-58-90")</f>
        <v>16015-58-90</v>
      </c>
      <c r="B15170" s="10" t="s">
        <v>14281</v>
      </c>
    </row>
    <row r="15171" spans="1:2" x14ac:dyDescent="0.3">
      <c r="A15171" s="7" t="str">
        <f>HYPERLINK("http://www.eatonpowersource.com/products/details/16021-4","16021-4")</f>
        <v>16021-4</v>
      </c>
      <c r="B15171" s="8" t="s">
        <v>14590</v>
      </c>
    </row>
    <row r="15172" spans="1:2" x14ac:dyDescent="0.3">
      <c r="A15172" s="9" t="str">
        <f>HYPERLINK("http://www.eatonpowersource.com/products/details/16024-006","16024-006")</f>
        <v>16024-006</v>
      </c>
      <c r="B15172" s="10" t="s">
        <v>14591</v>
      </c>
    </row>
    <row r="15173" spans="1:2" x14ac:dyDescent="0.3">
      <c r="A15173" s="7" t="str">
        <f>HYPERLINK("http://www.eatonpowersource.com/products/details/16024-4","16024-4")</f>
        <v>16024-4</v>
      </c>
      <c r="B15173" s="8" t="s">
        <v>9646</v>
      </c>
    </row>
    <row r="15174" spans="1:2" x14ac:dyDescent="0.3">
      <c r="A15174" s="9" t="str">
        <f>HYPERLINK("http://www.eatonpowersource.com/products/details/16026-507","16026-507")</f>
        <v>16026-507</v>
      </c>
      <c r="B15174" s="10" t="s">
        <v>9986</v>
      </c>
    </row>
    <row r="15175" spans="1:2" x14ac:dyDescent="0.3">
      <c r="A15175" s="7" t="str">
        <f>HYPERLINK("http://www.eatonpowersource.com/products/details/16026-610","16026-610")</f>
        <v>16026-610</v>
      </c>
      <c r="B15175" s="8" t="s">
        <v>9986</v>
      </c>
    </row>
    <row r="15176" spans="1:2" x14ac:dyDescent="0.3">
      <c r="A15176" s="9" t="str">
        <f>HYPERLINK("http://www.eatonpowersource.com/products/details/16026-808","16026-808")</f>
        <v>16026-808</v>
      </c>
      <c r="B15176" s="10" t="s">
        <v>9986</v>
      </c>
    </row>
    <row r="15177" spans="1:2" x14ac:dyDescent="0.3">
      <c r="A15177" s="7" t="str">
        <f>HYPERLINK("http://www.eatonpowersource.com/products/details/16028-304","16028-304")</f>
        <v>16028-304</v>
      </c>
      <c r="B15177" s="8" t="s">
        <v>14592</v>
      </c>
    </row>
    <row r="15178" spans="1:2" x14ac:dyDescent="0.3">
      <c r="A15178" s="9" t="str">
        <f>HYPERLINK("http://www.eatonpowersource.com/products/details/16028-604","16028-604")</f>
        <v>16028-604</v>
      </c>
      <c r="B15178" s="10" t="s">
        <v>14592</v>
      </c>
    </row>
    <row r="15179" spans="1:2" x14ac:dyDescent="0.3">
      <c r="A15179" s="7" t="str">
        <f>HYPERLINK("http://www.eatonpowersource.com/products/details/16032-606","16032-606")</f>
        <v>16032-606</v>
      </c>
      <c r="B15179" s="8" t="s">
        <v>14593</v>
      </c>
    </row>
    <row r="15180" spans="1:2" x14ac:dyDescent="0.3">
      <c r="A15180" s="9" t="str">
        <f>HYPERLINK("http://www.eatonpowersource.com/products/details/16032-610","16032-610")</f>
        <v>16032-610</v>
      </c>
      <c r="B15180" s="10" t="s">
        <v>14497</v>
      </c>
    </row>
    <row r="15181" spans="1:2" x14ac:dyDescent="0.3">
      <c r="A15181" s="7" t="str">
        <f>HYPERLINK("http://www.eatonpowersource.com/products/details/16032-612","16032-612")</f>
        <v>16032-612</v>
      </c>
      <c r="B15181" s="8" t="s">
        <v>14497</v>
      </c>
    </row>
    <row r="15182" spans="1:2" x14ac:dyDescent="0.3">
      <c r="A15182" s="9" t="str">
        <f>HYPERLINK("http://www.eatonpowersource.com/products/details/16045-103","16045-103")</f>
        <v>16045-103</v>
      </c>
      <c r="B15182" s="10" t="s">
        <v>8630</v>
      </c>
    </row>
    <row r="15183" spans="1:2" x14ac:dyDescent="0.3">
      <c r="A15183" s="7" t="str">
        <f>HYPERLINK("http://www.eatonpowersource.com/products/details/16048-319","16048-319")</f>
        <v>16048-319</v>
      </c>
      <c r="B15183" s="8" t="s">
        <v>14594</v>
      </c>
    </row>
    <row r="15184" spans="1:2" x14ac:dyDescent="0.3">
      <c r="A15184" s="9" t="str">
        <f>HYPERLINK("http://www.eatonpowersource.com/products/details/16048-329","16048-329")</f>
        <v>16048-329</v>
      </c>
      <c r="B15184" s="10" t="s">
        <v>8630</v>
      </c>
    </row>
    <row r="15185" spans="1:2" x14ac:dyDescent="0.3">
      <c r="A15185" s="7" t="str">
        <f>HYPERLINK("http://www.eatonpowersource.com/products/details/16048-448","16048-448")</f>
        <v>16048-448</v>
      </c>
      <c r="B15185" s="8" t="s">
        <v>8630</v>
      </c>
    </row>
    <row r="15186" spans="1:2" x14ac:dyDescent="0.3">
      <c r="A15186" s="9" t="str">
        <f>HYPERLINK("http://www.eatonpowersource.com/products/details/16048-500","16048-500")</f>
        <v>16048-500</v>
      </c>
      <c r="B15186" s="10" t="s">
        <v>14595</v>
      </c>
    </row>
    <row r="15187" spans="1:2" x14ac:dyDescent="0.3">
      <c r="A15187" s="7" t="str">
        <f>HYPERLINK("http://www.eatonpowersource.com/products/details/16048-534","16048-534")</f>
        <v>16048-534</v>
      </c>
      <c r="B15187" s="8" t="s">
        <v>8630</v>
      </c>
    </row>
    <row r="15188" spans="1:2" x14ac:dyDescent="0.3">
      <c r="A15188" s="9" t="str">
        <f>HYPERLINK("http://www.eatonpowersource.com/products/details/16048-597","16048-597")</f>
        <v>16048-597</v>
      </c>
      <c r="B15188" s="10" t="s">
        <v>14596</v>
      </c>
    </row>
    <row r="15189" spans="1:2" x14ac:dyDescent="0.3">
      <c r="A15189" s="7" t="str">
        <f>HYPERLINK("http://www.eatonpowersource.com/products/details/16074-106","16074-106")</f>
        <v>16074-106</v>
      </c>
      <c r="B15189" s="8" t="s">
        <v>14597</v>
      </c>
    </row>
    <row r="15190" spans="1:2" x14ac:dyDescent="0.3">
      <c r="A15190" s="9" t="str">
        <f>HYPERLINK("http://www.eatonpowersource.com/products/details/16077-063","16077-063")</f>
        <v>16077-063</v>
      </c>
      <c r="B15190" s="10" t="s">
        <v>14598</v>
      </c>
    </row>
    <row r="15191" spans="1:2" x14ac:dyDescent="0.3">
      <c r="A15191" s="7" t="str">
        <f>HYPERLINK("http://www.eatonpowersource.com/products/details/16077-066","16077-066")</f>
        <v>16077-066</v>
      </c>
      <c r="B15191" s="8" t="s">
        <v>9966</v>
      </c>
    </row>
    <row r="15192" spans="1:2" x14ac:dyDescent="0.3">
      <c r="A15192" s="9" t="str">
        <f>HYPERLINK("http://www.eatonpowersource.com/products/details/16077-22","16077-22")</f>
        <v>16077-22</v>
      </c>
      <c r="B15192" s="10" t="s">
        <v>9966</v>
      </c>
    </row>
    <row r="15193" spans="1:2" x14ac:dyDescent="0.3">
      <c r="A15193" s="7" t="str">
        <f>HYPERLINK("http://www.eatonpowersource.com/products/details/16077-24","16077-24")</f>
        <v>16077-24</v>
      </c>
      <c r="B15193" s="8" t="s">
        <v>14599</v>
      </c>
    </row>
    <row r="15194" spans="1:2" x14ac:dyDescent="0.3">
      <c r="A15194" s="9" t="str">
        <f>HYPERLINK("http://www.eatonpowersource.com/products/details/16077-32","16077-32")</f>
        <v>16077-32</v>
      </c>
      <c r="B15194" s="10" t="s">
        <v>14600</v>
      </c>
    </row>
    <row r="15195" spans="1:2" x14ac:dyDescent="0.3">
      <c r="A15195" s="7" t="str">
        <f>HYPERLINK("http://www.eatonpowersource.com/products/details/16077-34","16077-34")</f>
        <v>16077-34</v>
      </c>
      <c r="B15195" s="8" t="s">
        <v>14601</v>
      </c>
    </row>
    <row r="15196" spans="1:2" x14ac:dyDescent="0.3">
      <c r="A15196" s="9" t="str">
        <f>HYPERLINK("http://www.eatonpowersource.com/products/details/16078-18","16078-18")</f>
        <v>16078-18</v>
      </c>
      <c r="B15196" s="10" t="s">
        <v>14599</v>
      </c>
    </row>
    <row r="15197" spans="1:2" x14ac:dyDescent="0.3">
      <c r="A15197" s="7" t="str">
        <f>HYPERLINK("http://www.eatonpowersource.com/products/details/16096-108","16096-108")</f>
        <v>16096-108</v>
      </c>
      <c r="B15197" s="8" t="s">
        <v>14602</v>
      </c>
    </row>
    <row r="15198" spans="1:2" x14ac:dyDescent="0.3">
      <c r="A15198" s="9" t="str">
        <f>HYPERLINK("http://www.eatonpowersource.com/products/details/16096-610","16096-610")</f>
        <v>16096-610</v>
      </c>
      <c r="B15198" s="10" t="s">
        <v>14603</v>
      </c>
    </row>
    <row r="15199" spans="1:2" x14ac:dyDescent="0.3">
      <c r="A15199" s="7" t="str">
        <f>HYPERLINK("http://www.eatonpowersource.com/products/details/16101-102","16101-102")</f>
        <v>16101-102</v>
      </c>
      <c r="B15199" s="8" t="s">
        <v>14604</v>
      </c>
    </row>
    <row r="15200" spans="1:2" x14ac:dyDescent="0.3">
      <c r="A15200" s="9" t="str">
        <f>HYPERLINK("http://www.eatonpowersource.com/products/details/16103-108","16103-108")</f>
        <v>16103-108</v>
      </c>
      <c r="B15200" s="10" t="s">
        <v>14605</v>
      </c>
    </row>
    <row r="15201" spans="1:2" x14ac:dyDescent="0.3">
      <c r="A15201" s="7" t="str">
        <f>HYPERLINK("http://www.eatonpowersource.com/products/details/16103-302","16103-302")</f>
        <v>16103-302</v>
      </c>
      <c r="B15201" s="8" t="s">
        <v>14606</v>
      </c>
    </row>
    <row r="15202" spans="1:2" x14ac:dyDescent="0.3">
      <c r="A15202" s="9" t="str">
        <f>HYPERLINK("http://www.eatonpowersource.com/products/details/16119-552","16119-552")</f>
        <v>16119-552</v>
      </c>
      <c r="B15202" s="10" t="s">
        <v>14497</v>
      </c>
    </row>
    <row r="15203" spans="1:2" x14ac:dyDescent="0.3">
      <c r="A15203" s="7" t="str">
        <f>HYPERLINK("http://www.eatonpowersource.com/products/details/16133-10","16133-10")</f>
        <v>16133-10</v>
      </c>
      <c r="B15203" s="8" t="s">
        <v>14607</v>
      </c>
    </row>
    <row r="15204" spans="1:2" x14ac:dyDescent="0.3">
      <c r="A15204" s="9" t="str">
        <f>HYPERLINK("http://www.eatonpowersource.com/products/details/16133-6","16133-6")</f>
        <v>16133-6</v>
      </c>
      <c r="B15204" s="10" t="s">
        <v>14608</v>
      </c>
    </row>
    <row r="15205" spans="1:2" x14ac:dyDescent="0.3">
      <c r="A15205" s="7" t="str">
        <f>HYPERLINK("http://www.eatonpowersource.com/products/details/16133-8","16133-8")</f>
        <v>16133-8</v>
      </c>
      <c r="B15205" s="8" t="s">
        <v>14281</v>
      </c>
    </row>
    <row r="15206" spans="1:2" x14ac:dyDescent="0.3">
      <c r="A15206" s="9" t="str">
        <f>HYPERLINK("http://www.eatonpowersource.com/products/details/16136-514","16136-514")</f>
        <v>16136-514</v>
      </c>
      <c r="B15206" s="10" t="s">
        <v>14609</v>
      </c>
    </row>
    <row r="15207" spans="1:2" x14ac:dyDescent="0.3">
      <c r="A15207" s="7" t="str">
        <f>HYPERLINK("http://www.eatonpowersource.com/products/details/16136-520","16136-520")</f>
        <v>16136-520</v>
      </c>
      <c r="B15207" s="8" t="s">
        <v>14609</v>
      </c>
    </row>
    <row r="15208" spans="1:2" x14ac:dyDescent="0.3">
      <c r="A15208" s="9" t="str">
        <f>HYPERLINK("http://www.eatonpowersource.com/products/details/16136-574","16136-574")</f>
        <v>16136-574</v>
      </c>
      <c r="B15208" s="10" t="s">
        <v>14497</v>
      </c>
    </row>
    <row r="15209" spans="1:2" x14ac:dyDescent="0.3">
      <c r="A15209" s="7" t="str">
        <f>HYPERLINK("http://www.eatonpowersource.com/products/details/16136-612","16136-612")</f>
        <v>16136-612</v>
      </c>
      <c r="B15209" s="8" t="s">
        <v>14593</v>
      </c>
    </row>
    <row r="15210" spans="1:2" x14ac:dyDescent="0.3">
      <c r="A15210" s="9" t="str">
        <f>HYPERLINK("http://www.eatonpowersource.com/products/details/16136-634","16136-634")</f>
        <v>16136-634</v>
      </c>
      <c r="B15210" s="10" t="s">
        <v>14497</v>
      </c>
    </row>
    <row r="15211" spans="1:2" x14ac:dyDescent="0.3">
      <c r="A15211" s="7" t="str">
        <f>HYPERLINK("http://www.eatonpowersource.com/products/details/16136-812","16136-812")</f>
        <v>16136-812</v>
      </c>
      <c r="B15211" s="8" t="s">
        <v>14610</v>
      </c>
    </row>
    <row r="15212" spans="1:2" x14ac:dyDescent="0.3">
      <c r="A15212" s="9" t="str">
        <f>HYPERLINK("http://www.eatonpowersource.com/products/details/16139-304","16139-304")</f>
        <v>16139-304</v>
      </c>
      <c r="B15212" s="10" t="s">
        <v>14611</v>
      </c>
    </row>
    <row r="15213" spans="1:2" x14ac:dyDescent="0.3">
      <c r="A15213" s="7" t="str">
        <f>HYPERLINK("http://www.eatonpowersource.com/products/details/16139-516","16139-516")</f>
        <v>16139-516</v>
      </c>
      <c r="B15213" s="8" t="s">
        <v>14611</v>
      </c>
    </row>
    <row r="15214" spans="1:2" x14ac:dyDescent="0.3">
      <c r="A15214" s="9" t="str">
        <f>HYPERLINK("http://www.eatonpowersource.com/products/details/16139-618","16139-618")</f>
        <v>16139-618</v>
      </c>
      <c r="B15214" s="10" t="s">
        <v>14612</v>
      </c>
    </row>
    <row r="15215" spans="1:2" x14ac:dyDescent="0.3">
      <c r="A15215" s="7" t="str">
        <f>HYPERLINK("http://www.eatonpowersource.com/products/details/16139-624","16139-624")</f>
        <v>16139-624</v>
      </c>
      <c r="B15215" s="8" t="s">
        <v>14611</v>
      </c>
    </row>
    <row r="15216" spans="1:2" x14ac:dyDescent="0.3">
      <c r="A15216" s="9" t="str">
        <f>HYPERLINK("http://www.eatonpowersource.com/products/details/16147-312","16147-312")</f>
        <v>16147-312</v>
      </c>
      <c r="B15216" s="10" t="s">
        <v>14613</v>
      </c>
    </row>
    <row r="15217" spans="1:2" x14ac:dyDescent="0.3">
      <c r="A15217" s="7" t="str">
        <f>HYPERLINK("http://www.eatonpowersource.com/products/details/16147-314","16147-314")</f>
        <v>16147-314</v>
      </c>
      <c r="B15217" s="8" t="s">
        <v>14609</v>
      </c>
    </row>
    <row r="15218" spans="1:2" x14ac:dyDescent="0.3">
      <c r="A15218" s="9" t="str">
        <f>HYPERLINK("http://www.eatonpowersource.com/products/details/16147-324","16147-324")</f>
        <v>16147-324</v>
      </c>
      <c r="B15218" s="10" t="s">
        <v>14497</v>
      </c>
    </row>
    <row r="15219" spans="1:2" x14ac:dyDescent="0.3">
      <c r="A15219" s="7" t="str">
        <f>HYPERLINK("http://www.eatonpowersource.com/products/details/16148-316","16148-316")</f>
        <v>16148-316</v>
      </c>
      <c r="B15219" s="8" t="s">
        <v>14614</v>
      </c>
    </row>
    <row r="15220" spans="1:2" x14ac:dyDescent="0.3">
      <c r="A15220" s="9" t="str">
        <f>HYPERLINK("http://www.eatonpowersource.com/products/details/16148-320","16148-320")</f>
        <v>16148-320</v>
      </c>
      <c r="B15220" s="10" t="s">
        <v>14615</v>
      </c>
    </row>
    <row r="15221" spans="1:2" x14ac:dyDescent="0.3">
      <c r="A15221" s="7" t="str">
        <f>HYPERLINK("http://www.eatonpowersource.com/products/details/16148-412","16148-412")</f>
        <v>16148-412</v>
      </c>
      <c r="B15221" s="8" t="s">
        <v>14609</v>
      </c>
    </row>
    <row r="15222" spans="1:2" x14ac:dyDescent="0.3">
      <c r="A15222" s="9" t="str">
        <f>HYPERLINK("http://www.eatonpowersource.com/products/details/16148-506","16148-506")</f>
        <v>16148-506</v>
      </c>
      <c r="B15222" s="10" t="s">
        <v>14497</v>
      </c>
    </row>
    <row r="15223" spans="1:2" x14ac:dyDescent="0.3">
      <c r="A15223" s="7" t="str">
        <f>HYPERLINK("http://www.eatonpowersource.com/products/details/16148-836","16148-836")</f>
        <v>16148-836</v>
      </c>
      <c r="B15223" s="8" t="s">
        <v>14616</v>
      </c>
    </row>
    <row r="15224" spans="1:2" x14ac:dyDescent="0.3">
      <c r="A15224" s="9" t="str">
        <f>HYPERLINK("http://www.eatonpowersource.com/products/details/16166-242","16166-242")</f>
        <v>16166-242</v>
      </c>
      <c r="B15224" s="10" t="s">
        <v>10160</v>
      </c>
    </row>
    <row r="15225" spans="1:2" x14ac:dyDescent="0.3">
      <c r="A15225" s="7" t="str">
        <f>HYPERLINK("http://www.eatonpowersource.com/products/details/16232-16","16232-16")</f>
        <v>16232-16</v>
      </c>
      <c r="B15225" s="8" t="s">
        <v>10004</v>
      </c>
    </row>
    <row r="15226" spans="1:2" x14ac:dyDescent="0.3">
      <c r="A15226" s="9" t="str">
        <f>HYPERLINK("http://www.eatonpowersource.com/products/details/16232-22","16232-22")</f>
        <v>16232-22</v>
      </c>
      <c r="B15226" s="10" t="s">
        <v>10004</v>
      </c>
    </row>
    <row r="15227" spans="1:2" x14ac:dyDescent="0.3">
      <c r="A15227" s="7" t="str">
        <f>HYPERLINK("http://www.eatonpowersource.com/products/details/16233-22","16233-22")</f>
        <v>16233-22</v>
      </c>
      <c r="B15227" s="8" t="s">
        <v>14617</v>
      </c>
    </row>
    <row r="15228" spans="1:2" x14ac:dyDescent="0.3">
      <c r="A15228" s="9" t="str">
        <f>HYPERLINK("http://www.eatonpowersource.com/products/details/16237-11816","16237-11816")</f>
        <v>16237-11816</v>
      </c>
      <c r="B15228" s="10" t="s">
        <v>14618</v>
      </c>
    </row>
    <row r="15229" spans="1:2" x14ac:dyDescent="0.3">
      <c r="A15229" s="7" t="str">
        <f>HYPERLINK("http://www.eatonpowersource.com/products/details/16238-11816","16238-11816")</f>
        <v>16238-11816</v>
      </c>
      <c r="B15229" s="8" t="s">
        <v>10041</v>
      </c>
    </row>
    <row r="15230" spans="1:2" x14ac:dyDescent="0.3">
      <c r="A15230" s="9" t="str">
        <f>HYPERLINK("http://www.eatonpowersource.com/products/details/16239-1148","16239-1148")</f>
        <v>16239-1148</v>
      </c>
      <c r="B15230" s="10" t="s">
        <v>14619</v>
      </c>
    </row>
    <row r="15231" spans="1:2" x14ac:dyDescent="0.3">
      <c r="A15231" s="7" t="str">
        <f>HYPERLINK("http://www.eatonpowersource.com/products/details/16241-1220","16241-1220")</f>
        <v>16241-1220</v>
      </c>
      <c r="B15231" s="8" t="s">
        <v>14620</v>
      </c>
    </row>
    <row r="15232" spans="1:2" x14ac:dyDescent="0.3">
      <c r="A15232" s="9" t="str">
        <f>HYPERLINK("http://www.eatonpowersource.com/products/details/16241-1625","16241-1625")</f>
        <v>16241-1625</v>
      </c>
      <c r="B15232" s="10" t="s">
        <v>14621</v>
      </c>
    </row>
    <row r="15233" spans="1:2" x14ac:dyDescent="0.3">
      <c r="A15233" s="7" t="str">
        <f>HYPERLINK("http://www.eatonpowersource.com/products/details/16241-2233","16241-2233")</f>
        <v>16241-2233</v>
      </c>
      <c r="B15233" s="8" t="s">
        <v>14622</v>
      </c>
    </row>
    <row r="15234" spans="1:2" x14ac:dyDescent="0.3">
      <c r="A15234" s="9" t="str">
        <f>HYPERLINK("http://www.eatonpowersource.com/products/details/16241-c1220","16241-C1220")</f>
        <v>16241-C1220</v>
      </c>
      <c r="B15234" s="10" t="s">
        <v>14623</v>
      </c>
    </row>
    <row r="15235" spans="1:2" x14ac:dyDescent="0.3">
      <c r="A15235" s="7" t="str">
        <f>HYPERLINK("http://www.eatonpowersource.com/products/details/16241-c1625","16241-C1625")</f>
        <v>16241-C1625</v>
      </c>
      <c r="B15235" s="8" t="s">
        <v>14624</v>
      </c>
    </row>
    <row r="15236" spans="1:2" x14ac:dyDescent="0.3">
      <c r="A15236" s="9" t="str">
        <f>HYPERLINK("http://www.eatonpowersource.com/products/details/16241-c2233","16241-C2233")</f>
        <v>16241-C2233</v>
      </c>
      <c r="B15236" s="10" t="s">
        <v>14625</v>
      </c>
    </row>
    <row r="15237" spans="1:2" x14ac:dyDescent="0.3">
      <c r="A15237" s="7" t="str">
        <f>HYPERLINK("http://www.eatonpowersource.com/products/details/16243-214","16243-214")</f>
        <v>16243-214</v>
      </c>
      <c r="B15237" s="8" t="s">
        <v>9648</v>
      </c>
    </row>
    <row r="15238" spans="1:2" x14ac:dyDescent="0.3">
      <c r="A15238" s="9" t="str">
        <f>HYPERLINK("http://www.eatonpowersource.com/products/details/16246-429","16246-429")</f>
        <v>16246-429</v>
      </c>
      <c r="B15238" s="10" t="s">
        <v>14626</v>
      </c>
    </row>
    <row r="15239" spans="1:2" x14ac:dyDescent="0.3">
      <c r="A15239" s="7" t="str">
        <f>HYPERLINK("http://www.eatonpowersource.com/products/details/16246-431","16246-431")</f>
        <v>16246-431</v>
      </c>
      <c r="B15239" s="8" t="s">
        <v>9648</v>
      </c>
    </row>
    <row r="15240" spans="1:2" x14ac:dyDescent="0.3">
      <c r="A15240" s="9" t="str">
        <f>HYPERLINK("http://www.eatonpowersource.com/products/details/16246-516","16246-516")</f>
        <v>16246-516</v>
      </c>
      <c r="B15240" s="10" t="s">
        <v>14627</v>
      </c>
    </row>
    <row r="15241" spans="1:2" x14ac:dyDescent="0.3">
      <c r="A15241" s="7" t="str">
        <f>HYPERLINK("http://www.eatonpowersource.com/products/details/16246-523","16246-523")</f>
        <v>16246-523</v>
      </c>
      <c r="B15241" s="8" t="s">
        <v>9648</v>
      </c>
    </row>
    <row r="15242" spans="1:2" x14ac:dyDescent="0.3">
      <c r="A15242" s="9" t="str">
        <f>HYPERLINK("http://www.eatonpowersource.com/products/details/16246-528","16246-528")</f>
        <v>16246-528</v>
      </c>
      <c r="B15242" s="10" t="s">
        <v>9648</v>
      </c>
    </row>
    <row r="15243" spans="1:2" x14ac:dyDescent="0.3">
      <c r="A15243" s="7" t="str">
        <f>HYPERLINK("http://www.eatonpowersource.com/products/details/16246-612","16246-612")</f>
        <v>16246-612</v>
      </c>
      <c r="B15243" s="8" t="s">
        <v>9648</v>
      </c>
    </row>
    <row r="15244" spans="1:2" x14ac:dyDescent="0.3">
      <c r="A15244" s="9" t="str">
        <f>HYPERLINK("http://www.eatonpowersource.com/products/details/16252-112","16252-112")</f>
        <v>16252-112</v>
      </c>
      <c r="B15244" s="10" t="s">
        <v>14387</v>
      </c>
    </row>
    <row r="15245" spans="1:2" x14ac:dyDescent="0.3">
      <c r="A15245" s="7" t="str">
        <f>HYPERLINK("http://www.eatonpowersource.com/products/details/16253-16","16253-16")</f>
        <v>16253-16</v>
      </c>
      <c r="B15245" s="8" t="s">
        <v>10004</v>
      </c>
    </row>
    <row r="15246" spans="1:2" x14ac:dyDescent="0.3">
      <c r="A15246" s="9" t="str">
        <f>HYPERLINK("http://www.eatonpowersource.com/products/details/16253-18","16253-18")</f>
        <v>16253-18</v>
      </c>
      <c r="B15246" s="10" t="s">
        <v>10004</v>
      </c>
    </row>
    <row r="15247" spans="1:2" x14ac:dyDescent="0.3">
      <c r="A15247" s="7" t="str">
        <f>HYPERLINK("http://www.eatonpowersource.com/products/details/16253-214","16253-214")</f>
        <v>16253-214</v>
      </c>
      <c r="B15247" s="8" t="s">
        <v>14387</v>
      </c>
    </row>
    <row r="15248" spans="1:2" x14ac:dyDescent="0.3">
      <c r="A15248" s="9" t="str">
        <f>HYPERLINK("http://www.eatonpowersource.com/products/details/16253-216","16253-216")</f>
        <v>16253-216</v>
      </c>
      <c r="B15248" s="10" t="s">
        <v>14617</v>
      </c>
    </row>
    <row r="15249" spans="1:2" x14ac:dyDescent="0.3">
      <c r="A15249" s="7" t="str">
        <f>HYPERLINK("http://www.eatonpowersource.com/products/details/16253-218","16253-218")</f>
        <v>16253-218</v>
      </c>
      <c r="B15249" s="8" t="s">
        <v>14387</v>
      </c>
    </row>
    <row r="15250" spans="1:2" x14ac:dyDescent="0.3">
      <c r="A15250" s="9" t="str">
        <f>HYPERLINK("http://www.eatonpowersource.com/products/details/16254-24","16254-24")</f>
        <v>16254-24</v>
      </c>
      <c r="B15250" s="10" t="s">
        <v>14628</v>
      </c>
    </row>
    <row r="15251" spans="1:2" x14ac:dyDescent="0.3">
      <c r="A15251" s="7" t="str">
        <f>HYPERLINK("http://www.eatonpowersource.com/products/details/16254-26","16254-26")</f>
        <v>16254-26</v>
      </c>
      <c r="B15251" s="8" t="s">
        <v>14629</v>
      </c>
    </row>
    <row r="15252" spans="1:2" x14ac:dyDescent="0.3">
      <c r="A15252" s="9" t="str">
        <f>HYPERLINK("http://www.eatonpowersource.com/products/details/16254-28","16254-28")</f>
        <v>16254-28</v>
      </c>
      <c r="B15252" s="10" t="s">
        <v>14630</v>
      </c>
    </row>
    <row r="15253" spans="1:2" x14ac:dyDescent="0.3">
      <c r="A15253" s="7" t="str">
        <f>HYPERLINK("http://www.eatonpowersource.com/products/details/16254-6","16254-6")</f>
        <v>16254-6</v>
      </c>
      <c r="B15253" s="8" t="s">
        <v>14631</v>
      </c>
    </row>
    <row r="15254" spans="1:2" x14ac:dyDescent="0.3">
      <c r="A15254" s="9" t="str">
        <f>HYPERLINK("http://www.eatonpowersource.com/products/details/16254-8","16254-8")</f>
        <v>16254-8</v>
      </c>
      <c r="B15254" s="10" t="s">
        <v>14632</v>
      </c>
    </row>
    <row r="15255" spans="1:2" x14ac:dyDescent="0.3">
      <c r="A15255" s="7" t="str">
        <f>HYPERLINK("http://www.eatonpowersource.com/products/details/16268-306","16268-306")</f>
        <v>16268-306</v>
      </c>
      <c r="B15255" s="8" t="s">
        <v>14497</v>
      </c>
    </row>
    <row r="15256" spans="1:2" x14ac:dyDescent="0.3">
      <c r="A15256" s="9" t="str">
        <f>HYPERLINK("http://www.eatonpowersource.com/products/details/16269-106","16269-106")</f>
        <v>16269-106</v>
      </c>
      <c r="B15256" s="10" t="s">
        <v>14609</v>
      </c>
    </row>
    <row r="15257" spans="1:2" x14ac:dyDescent="0.3">
      <c r="A15257" s="7" t="str">
        <f>HYPERLINK("http://www.eatonpowersource.com/products/details/16292-088","16292-088")</f>
        <v>16292-088</v>
      </c>
      <c r="B15257" s="8" t="s">
        <v>14633</v>
      </c>
    </row>
    <row r="15258" spans="1:2" x14ac:dyDescent="0.3">
      <c r="A15258" s="9" t="str">
        <f>HYPERLINK("http://www.eatonpowersource.com/products/details/16292-100","16292-100")</f>
        <v>16292-100</v>
      </c>
      <c r="B15258" s="10" t="s">
        <v>14634</v>
      </c>
    </row>
    <row r="15259" spans="1:2" x14ac:dyDescent="0.3">
      <c r="A15259" s="7" t="str">
        <f>HYPERLINK("http://www.eatonpowersource.com/products/details/16292-162","16292-162")</f>
        <v>16292-162</v>
      </c>
      <c r="B15259" s="8" t="s">
        <v>14635</v>
      </c>
    </row>
    <row r="15260" spans="1:2" x14ac:dyDescent="0.3">
      <c r="A15260" s="9" t="str">
        <f>HYPERLINK("http://www.eatonpowersource.com/products/details/16294-150","16294-150")</f>
        <v>16294-150</v>
      </c>
      <c r="B15260" s="10" t="s">
        <v>14636</v>
      </c>
    </row>
    <row r="15261" spans="1:2" x14ac:dyDescent="0.3">
      <c r="A15261" s="7" t="str">
        <f>HYPERLINK("http://www.eatonpowersource.com/products/details/16294-175","16294-175")</f>
        <v>16294-175</v>
      </c>
      <c r="B15261" s="8" t="s">
        <v>14636</v>
      </c>
    </row>
    <row r="15262" spans="1:2" x14ac:dyDescent="0.3">
      <c r="A15262" s="9" t="str">
        <f>HYPERLINK("http://www.eatonpowersource.com/products/details/16294-188","16294-188")</f>
        <v>16294-188</v>
      </c>
      <c r="B15262" s="10" t="s">
        <v>14636</v>
      </c>
    </row>
    <row r="15263" spans="1:2" x14ac:dyDescent="0.3">
      <c r="A15263" s="7" t="str">
        <f>HYPERLINK("http://www.eatonpowersource.com/products/details/16294-212","16294-212")</f>
        <v>16294-212</v>
      </c>
      <c r="B15263" s="8" t="s">
        <v>14636</v>
      </c>
    </row>
    <row r="15264" spans="1:2" x14ac:dyDescent="0.3">
      <c r="A15264" s="9" t="str">
        <f>HYPERLINK("http://www.eatonpowersource.com/products/details/16294-225","16294-225")</f>
        <v>16294-225</v>
      </c>
      <c r="B15264" s="10" t="s">
        <v>14636</v>
      </c>
    </row>
    <row r="15265" spans="1:2" x14ac:dyDescent="0.3">
      <c r="A15265" s="7" t="str">
        <f>HYPERLINK("http://www.eatonpowersource.com/products/details/16294-250","16294-250")</f>
        <v>16294-250</v>
      </c>
      <c r="B15265" s="8" t="s">
        <v>14636</v>
      </c>
    </row>
    <row r="15266" spans="1:2" x14ac:dyDescent="0.3">
      <c r="A15266" s="9" t="str">
        <f>HYPERLINK("http://www.eatonpowersource.com/products/details/16294-288","16294-288")</f>
        <v>16294-288</v>
      </c>
      <c r="B15266" s="10" t="s">
        <v>14636</v>
      </c>
    </row>
    <row r="15267" spans="1:2" x14ac:dyDescent="0.3">
      <c r="A15267" s="7" t="str">
        <f>HYPERLINK("http://www.eatonpowersource.com/products/details/16294-312","16294-312")</f>
        <v>16294-312</v>
      </c>
      <c r="B15267" s="8" t="s">
        <v>14636</v>
      </c>
    </row>
    <row r="15268" spans="1:2" x14ac:dyDescent="0.3">
      <c r="A15268" s="9" t="str">
        <f>HYPERLINK("http://www.eatonpowersource.com/products/details/16294-325","16294-325")</f>
        <v>16294-325</v>
      </c>
      <c r="B15268" s="10" t="s">
        <v>14636</v>
      </c>
    </row>
    <row r="15269" spans="1:2" x14ac:dyDescent="0.3">
      <c r="A15269" s="7" t="str">
        <f>HYPERLINK("http://www.eatonpowersource.com/products/details/16294-350","16294-350")</f>
        <v>16294-350</v>
      </c>
      <c r="B15269" s="8" t="s">
        <v>14636</v>
      </c>
    </row>
    <row r="15270" spans="1:2" x14ac:dyDescent="0.3">
      <c r="A15270" s="9" t="str">
        <f>HYPERLINK("http://www.eatonpowersource.com/products/details/16294-400","16294-400")</f>
        <v>16294-400</v>
      </c>
      <c r="B15270" s="10" t="s">
        <v>14636</v>
      </c>
    </row>
    <row r="15271" spans="1:2" x14ac:dyDescent="0.3">
      <c r="A15271" s="7" t="str">
        <f>HYPERLINK("http://www.eatonpowersource.com/products/details/16319-426","16319-426")</f>
        <v>16319-426</v>
      </c>
      <c r="B15271" s="8" t="s">
        <v>14637</v>
      </c>
    </row>
    <row r="15272" spans="1:2" x14ac:dyDescent="0.3">
      <c r="A15272" s="9" t="str">
        <f>HYPERLINK("http://www.eatonpowersource.com/products/details/16319-430","16319-430")</f>
        <v>16319-430</v>
      </c>
      <c r="B15272" s="10" t="s">
        <v>14637</v>
      </c>
    </row>
    <row r="15273" spans="1:2" x14ac:dyDescent="0.3">
      <c r="A15273" s="7" t="str">
        <f>HYPERLINK("http://www.eatonpowersource.com/products/details/16320-117","16320-117")</f>
        <v>16320-117</v>
      </c>
      <c r="B15273" s="8" t="s">
        <v>14263</v>
      </c>
    </row>
    <row r="15274" spans="1:2" x14ac:dyDescent="0.3">
      <c r="A15274" s="9" t="str">
        <f>HYPERLINK("http://www.eatonpowersource.com/products/details/16320-122","16320-122")</f>
        <v>16320-122</v>
      </c>
      <c r="B15274" s="10" t="s">
        <v>14345</v>
      </c>
    </row>
    <row r="15275" spans="1:2" x14ac:dyDescent="0.3">
      <c r="A15275" s="7" t="str">
        <f>HYPERLINK("http://www.eatonpowersource.com/products/details/16321-117","16321-117")</f>
        <v>16321-117</v>
      </c>
      <c r="B15275" s="8" t="s">
        <v>14638</v>
      </c>
    </row>
    <row r="15276" spans="1:2" x14ac:dyDescent="0.3">
      <c r="A15276" s="9" t="str">
        <f>HYPERLINK("http://www.eatonpowersource.com/products/details/16321-122","16321-122")</f>
        <v>16321-122</v>
      </c>
      <c r="B15276" s="10" t="s">
        <v>14639</v>
      </c>
    </row>
    <row r="15277" spans="1:2" x14ac:dyDescent="0.3">
      <c r="A15277" s="7" t="str">
        <f>HYPERLINK("http://www.eatonpowersource.com/products/details/16336-514","16336-514")</f>
        <v>16336-514</v>
      </c>
      <c r="B15277" s="8" t="s">
        <v>14640</v>
      </c>
    </row>
    <row r="15278" spans="1:2" x14ac:dyDescent="0.3">
      <c r="A15278" s="9" t="str">
        <f>HYPERLINK("http://www.eatonpowersource.com/products/details/17000-48b","17000-48B")</f>
        <v>17000-48B</v>
      </c>
      <c r="B15278" s="10" t="s">
        <v>9653</v>
      </c>
    </row>
    <row r="15279" spans="1:2" x14ac:dyDescent="0.3">
      <c r="A15279" s="7" t="str">
        <f>HYPERLINK("http://www.eatonpowersource.com/products/details/17018-15","17018-15")</f>
        <v>17018-15</v>
      </c>
      <c r="B15279" s="8" t="s">
        <v>9653</v>
      </c>
    </row>
    <row r="15280" spans="1:2" x14ac:dyDescent="0.3">
      <c r="A15280" s="9" t="str">
        <f>HYPERLINK("http://www.eatonpowersource.com/products/details/17024-024","17024-024")</f>
        <v>17024-024</v>
      </c>
      <c r="B15280" s="10" t="s">
        <v>14641</v>
      </c>
    </row>
    <row r="15281" spans="1:2" x14ac:dyDescent="0.3">
      <c r="A15281" s="7" t="str">
        <f>HYPERLINK("http://www.eatonpowersource.com/products/details/17047-036","17047-036")</f>
        <v>17047-036</v>
      </c>
      <c r="B15281" s="8" t="s">
        <v>14642</v>
      </c>
    </row>
    <row r="15282" spans="1:2" x14ac:dyDescent="0.3">
      <c r="A15282" s="9" t="str">
        <f>HYPERLINK("http://www.eatonpowersource.com/products/details/17056-40","17056-40")</f>
        <v>17056-40</v>
      </c>
      <c r="B15282" s="10" t="s">
        <v>14643</v>
      </c>
    </row>
    <row r="15283" spans="1:2" x14ac:dyDescent="0.3">
      <c r="A15283" s="7" t="str">
        <f>HYPERLINK("http://www.eatonpowersource.com/products/details/17059-16","17059-16")</f>
        <v>17059-16</v>
      </c>
      <c r="B15283" s="8" t="s">
        <v>14644</v>
      </c>
    </row>
    <row r="15284" spans="1:2" x14ac:dyDescent="0.3">
      <c r="A15284" s="9" t="str">
        <f>HYPERLINK("http://www.eatonpowersource.com/products/details/17063-11","17063-11")</f>
        <v>17063-11</v>
      </c>
      <c r="B15284" s="10" t="s">
        <v>9653</v>
      </c>
    </row>
    <row r="15285" spans="1:2" x14ac:dyDescent="0.3">
      <c r="A15285" s="7" t="str">
        <f>HYPERLINK("http://www.eatonpowersource.com/products/details/17073-6","17073-6")</f>
        <v>17073-6</v>
      </c>
      <c r="B15285" s="8" t="s">
        <v>14643</v>
      </c>
    </row>
    <row r="15286" spans="1:2" x14ac:dyDescent="0.3">
      <c r="A15286" s="9" t="str">
        <f>HYPERLINK("http://www.eatonpowersource.com/products/details/17079-2","17079-2")</f>
        <v>17079-2</v>
      </c>
      <c r="B15286" s="10" t="s">
        <v>9653</v>
      </c>
    </row>
    <row r="15287" spans="1:2" x14ac:dyDescent="0.3">
      <c r="A15287" s="7" t="str">
        <f>HYPERLINK("http://www.eatonpowersource.com/products/details/17086-017","17086-017")</f>
        <v>17086-017</v>
      </c>
      <c r="B15287" s="8" t="s">
        <v>9653</v>
      </c>
    </row>
    <row r="15288" spans="1:2" x14ac:dyDescent="0.3">
      <c r="A15288" s="9" t="str">
        <f>HYPERLINK("http://www.eatonpowersource.com/products/details/17091-14","17091-14")</f>
        <v>17091-14</v>
      </c>
      <c r="B15288" s="10" t="s">
        <v>14643</v>
      </c>
    </row>
    <row r="15289" spans="1:2" x14ac:dyDescent="0.3">
      <c r="A15289" s="7" t="str">
        <f>HYPERLINK("http://www.eatonpowersource.com/products/details/18015-000","18015-000")</f>
        <v>18015-000</v>
      </c>
      <c r="B15289" s="8" t="s">
        <v>10330</v>
      </c>
    </row>
    <row r="15290" spans="1:2" x14ac:dyDescent="0.3">
      <c r="A15290" s="9" t="str">
        <f>HYPERLINK("http://www.eatonpowersource.com/products/details/18033-000","18033-000")</f>
        <v>18033-000</v>
      </c>
      <c r="B15290" s="10" t="s">
        <v>9648</v>
      </c>
    </row>
    <row r="15291" spans="1:2" x14ac:dyDescent="0.3">
      <c r="A15291" s="7" t="str">
        <f>HYPERLINK("http://www.eatonpowersource.com/products/details/201007-001","201007-001")</f>
        <v>201007-001</v>
      </c>
      <c r="B15291" s="8" t="s">
        <v>14645</v>
      </c>
    </row>
    <row r="15292" spans="1:2" x14ac:dyDescent="0.3">
      <c r="A15292" s="9" t="str">
        <f>HYPERLINK("http://www.eatonpowersource.com/products/details/201039-000","201039-000")</f>
        <v>201039-000</v>
      </c>
      <c r="B15292" s="10" t="s">
        <v>14646</v>
      </c>
    </row>
    <row r="15293" spans="1:2" x14ac:dyDescent="0.3">
      <c r="A15293" s="7" t="str">
        <f>HYPERLINK("http://www.eatonpowersource.com/products/details/201041-000","201041-000")</f>
        <v>201041-000</v>
      </c>
      <c r="B15293" s="8" t="s">
        <v>14647</v>
      </c>
    </row>
    <row r="15294" spans="1:2" x14ac:dyDescent="0.3">
      <c r="A15294" s="9" t="str">
        <f>HYPERLINK("http://www.eatonpowersource.com/products/details/201094-004","201094-004")</f>
        <v>201094-004</v>
      </c>
      <c r="B15294" s="10" t="s">
        <v>14648</v>
      </c>
    </row>
    <row r="15295" spans="1:2" x14ac:dyDescent="0.3">
      <c r="A15295" s="7" t="str">
        <f>HYPERLINK("http://www.eatonpowersource.com/products/details/201094-005","201094-005")</f>
        <v>201094-005</v>
      </c>
      <c r="B15295" s="8" t="s">
        <v>14649</v>
      </c>
    </row>
    <row r="15296" spans="1:2" x14ac:dyDescent="0.3">
      <c r="A15296" s="9" t="str">
        <f>HYPERLINK("http://www.eatonpowersource.com/products/details/201111-003","201111-003")</f>
        <v>201111-003</v>
      </c>
      <c r="B15296" s="10" t="s">
        <v>14505</v>
      </c>
    </row>
    <row r="15297" spans="1:2" x14ac:dyDescent="0.3">
      <c r="A15297" s="7" t="str">
        <f>HYPERLINK("http://www.eatonpowersource.com/products/details/201111-004","201111-004")</f>
        <v>201111-004</v>
      </c>
      <c r="B15297" s="8" t="s">
        <v>14505</v>
      </c>
    </row>
    <row r="15298" spans="1:2" x14ac:dyDescent="0.3">
      <c r="A15298" s="9" t="str">
        <f>HYPERLINK("http://www.eatonpowersource.com/products/details/201111-006","201111-006")</f>
        <v>201111-006</v>
      </c>
      <c r="B15298" s="10" t="s">
        <v>14505</v>
      </c>
    </row>
    <row r="15299" spans="1:2" x14ac:dyDescent="0.3">
      <c r="A15299" s="7" t="str">
        <f>HYPERLINK("http://www.eatonpowersource.com/products/details/201111-008","201111-008")</f>
        <v>201111-008</v>
      </c>
      <c r="B15299" s="8" t="s">
        <v>14505</v>
      </c>
    </row>
    <row r="15300" spans="1:2" x14ac:dyDescent="0.3">
      <c r="A15300" s="9" t="str">
        <f>HYPERLINK("http://www.eatonpowersource.com/products/details/201123-011","201123-011")</f>
        <v>201123-011</v>
      </c>
      <c r="B15300" s="10" t="s">
        <v>14650</v>
      </c>
    </row>
    <row r="15301" spans="1:2" x14ac:dyDescent="0.3">
      <c r="A15301" s="7" t="str">
        <f>HYPERLINK("http://www.eatonpowersource.com/products/details/201123-014","201123-014")</f>
        <v>201123-014</v>
      </c>
      <c r="B15301" s="8" t="s">
        <v>14651</v>
      </c>
    </row>
    <row r="15302" spans="1:2" x14ac:dyDescent="0.3">
      <c r="A15302" s="9" t="str">
        <f>HYPERLINK("http://www.eatonpowersource.com/products/details/201285-001","201285-001")</f>
        <v>201285-001</v>
      </c>
      <c r="B15302" s="10" t="s">
        <v>14652</v>
      </c>
    </row>
    <row r="15303" spans="1:2" x14ac:dyDescent="0.3">
      <c r="A15303" s="7" t="str">
        <f>HYPERLINK("http://www.eatonpowersource.com/products/details/201285-002","201285-002")</f>
        <v>201285-002</v>
      </c>
      <c r="B15303" s="8" t="s">
        <v>14653</v>
      </c>
    </row>
    <row r="15304" spans="1:2" x14ac:dyDescent="0.3">
      <c r="A15304" s="9" t="str">
        <f>HYPERLINK("http://www.eatonpowersource.com/products/details/201285-003","201285-003")</f>
        <v>201285-003</v>
      </c>
      <c r="B15304" s="10" t="s">
        <v>14654</v>
      </c>
    </row>
    <row r="15305" spans="1:2" x14ac:dyDescent="0.3">
      <c r="A15305" s="7" t="str">
        <f>HYPERLINK("http://www.eatonpowersource.com/products/details/201285-004","201285-004")</f>
        <v>201285-004</v>
      </c>
      <c r="B15305" s="8" t="s">
        <v>14655</v>
      </c>
    </row>
    <row r="15306" spans="1:2" x14ac:dyDescent="0.3">
      <c r="A15306" s="9" t="str">
        <f>HYPERLINK("http://www.eatonpowersource.com/products/details/201285-006","201285-006")</f>
        <v>201285-006</v>
      </c>
      <c r="B15306" s="10" t="s">
        <v>14656</v>
      </c>
    </row>
    <row r="15307" spans="1:2" x14ac:dyDescent="0.3">
      <c r="A15307" s="7" t="str">
        <f>HYPERLINK("http://www.eatonpowersource.com/products/details/201307-003","201307-003")</f>
        <v>201307-003</v>
      </c>
      <c r="B15307" s="8" t="s">
        <v>9603</v>
      </c>
    </row>
    <row r="15308" spans="1:2" x14ac:dyDescent="0.3">
      <c r="A15308" s="9" t="str">
        <f>HYPERLINK("http://www.eatonpowersource.com/products/details/201333-005","201333-005")</f>
        <v>201333-005</v>
      </c>
      <c r="B15308" s="10" t="s">
        <v>14657</v>
      </c>
    </row>
    <row r="15309" spans="1:2" x14ac:dyDescent="0.3">
      <c r="A15309" s="7" t="str">
        <f>HYPERLINK("http://www.eatonpowersource.com/products/details/201334-002","201334-002")</f>
        <v>201334-002</v>
      </c>
      <c r="B15309" s="8" t="s">
        <v>14658</v>
      </c>
    </row>
    <row r="15310" spans="1:2" x14ac:dyDescent="0.3">
      <c r="A15310" s="9" t="str">
        <f>HYPERLINK("http://www.eatonpowersource.com/products/details/201352-002","201352-002")</f>
        <v>201352-002</v>
      </c>
      <c r="B15310" s="10" t="s">
        <v>14659</v>
      </c>
    </row>
    <row r="15311" spans="1:2" x14ac:dyDescent="0.3">
      <c r="A15311" s="7" t="str">
        <f>HYPERLINK("http://www.eatonpowersource.com/products/details/201353-000","201353-000")</f>
        <v>201353-000</v>
      </c>
      <c r="B15311" s="8" t="s">
        <v>14660</v>
      </c>
    </row>
    <row r="15312" spans="1:2" x14ac:dyDescent="0.3">
      <c r="A15312" s="9" t="str">
        <f>HYPERLINK("http://www.eatonpowersource.com/products/details/201354-001","201354-001")</f>
        <v>201354-001</v>
      </c>
      <c r="B15312" s="10" t="s">
        <v>14661</v>
      </c>
    </row>
    <row r="15313" spans="1:2" x14ac:dyDescent="0.3">
      <c r="A15313" s="7" t="str">
        <f>HYPERLINK("http://www.eatonpowersource.com/products/details/201354-002","201354-002")</f>
        <v>201354-002</v>
      </c>
      <c r="B15313" s="8" t="s">
        <v>14661</v>
      </c>
    </row>
    <row r="15314" spans="1:2" x14ac:dyDescent="0.3">
      <c r="A15314" s="9" t="str">
        <f>HYPERLINK("http://www.eatonpowersource.com/products/details/201354-004","201354-004")</f>
        <v>201354-004</v>
      </c>
      <c r="B15314" s="10" t="s">
        <v>14661</v>
      </c>
    </row>
    <row r="15315" spans="1:2" x14ac:dyDescent="0.3">
      <c r="A15315" s="7" t="str">
        <f>HYPERLINK("http://www.eatonpowersource.com/products/details/201354-006","201354-006")</f>
        <v>201354-006</v>
      </c>
      <c r="B15315" s="8" t="s">
        <v>14661</v>
      </c>
    </row>
    <row r="15316" spans="1:2" x14ac:dyDescent="0.3">
      <c r="A15316" s="9" t="str">
        <f>HYPERLINK("http://www.eatonpowersource.com/products/details/201404-005","201404-005")</f>
        <v>201404-005</v>
      </c>
      <c r="B15316" s="10" t="s">
        <v>14662</v>
      </c>
    </row>
    <row r="15317" spans="1:2" x14ac:dyDescent="0.3">
      <c r="A15317" s="7" t="str">
        <f>HYPERLINK("http://www.eatonpowersource.com/products/details/201494-002","201494-002")</f>
        <v>201494-002</v>
      </c>
      <c r="B15317" s="8" t="s">
        <v>14663</v>
      </c>
    </row>
    <row r="15318" spans="1:2" x14ac:dyDescent="0.3">
      <c r="A15318" s="9" t="str">
        <f>HYPERLINK("http://www.eatonpowersource.com/products/details/201495-004","201495-004")</f>
        <v>201495-004</v>
      </c>
      <c r="B15318" s="10" t="s">
        <v>14664</v>
      </c>
    </row>
    <row r="15319" spans="1:2" x14ac:dyDescent="0.3">
      <c r="A15319" s="7" t="str">
        <f>HYPERLINK("http://www.eatonpowersource.com/products/details/201546-000","201546-000")</f>
        <v>201546-000</v>
      </c>
      <c r="B15319" s="8" t="s">
        <v>14665</v>
      </c>
    </row>
    <row r="15320" spans="1:2" x14ac:dyDescent="0.3">
      <c r="A15320" s="9" t="str">
        <f>HYPERLINK("http://www.eatonpowersource.com/products/details/201616-001","201616-001")</f>
        <v>201616-001</v>
      </c>
      <c r="B15320" s="10" t="s">
        <v>14666</v>
      </c>
    </row>
    <row r="15321" spans="1:2" x14ac:dyDescent="0.3">
      <c r="A15321" s="7" t="str">
        <f>HYPERLINK("http://www.eatonpowersource.com/products/details/201616-002","201616-002")</f>
        <v>201616-002</v>
      </c>
      <c r="B15321" s="8" t="s">
        <v>14667</v>
      </c>
    </row>
    <row r="15322" spans="1:2" x14ac:dyDescent="0.3">
      <c r="A15322" s="9" t="str">
        <f>HYPERLINK("http://www.eatonpowersource.com/products/details/201616-016","201616-016")</f>
        <v>201616-016</v>
      </c>
      <c r="B15322" s="10" t="s">
        <v>14668</v>
      </c>
    </row>
    <row r="15323" spans="1:2" x14ac:dyDescent="0.3">
      <c r="A15323" s="7" t="str">
        <f>HYPERLINK("http://www.eatonpowersource.com/products/details/201616-024","201616-024")</f>
        <v>201616-024</v>
      </c>
      <c r="B15323" s="8" t="s">
        <v>14669</v>
      </c>
    </row>
    <row r="15324" spans="1:2" x14ac:dyDescent="0.3">
      <c r="A15324" s="9" t="str">
        <f>HYPERLINK("http://www.eatonpowersource.com/products/details/201837-001","201837-001")</f>
        <v>201837-001</v>
      </c>
      <c r="B15324" s="10" t="s">
        <v>14670</v>
      </c>
    </row>
    <row r="15325" spans="1:2" x14ac:dyDescent="0.3">
      <c r="A15325" s="7" t="str">
        <f>HYPERLINK("http://www.eatonpowersource.com/products/details/201837-002","201837-002")</f>
        <v>201837-002</v>
      </c>
      <c r="B15325" s="8" t="s">
        <v>14670</v>
      </c>
    </row>
    <row r="15326" spans="1:2" x14ac:dyDescent="0.3">
      <c r="A15326" s="9" t="str">
        <f>HYPERLINK("http://www.eatonpowersource.com/products/details/201837-003","201837-003")</f>
        <v>201837-003</v>
      </c>
      <c r="B15326" s="10" t="s">
        <v>14670</v>
      </c>
    </row>
    <row r="15327" spans="1:2" x14ac:dyDescent="0.3">
      <c r="A15327" s="7" t="str">
        <f>HYPERLINK("http://www.eatonpowersource.com/products/details/201837-010","201837-010")</f>
        <v>201837-010</v>
      </c>
      <c r="B15327" s="8" t="s">
        <v>14670</v>
      </c>
    </row>
    <row r="15328" spans="1:2" x14ac:dyDescent="0.3">
      <c r="A15328" s="9" t="str">
        <f>HYPERLINK("http://www.eatonpowersource.com/products/details/201837-011","201837-011")</f>
        <v>201837-011</v>
      </c>
      <c r="B15328" s="10" t="s">
        <v>14670</v>
      </c>
    </row>
    <row r="15329" spans="1:2" x14ac:dyDescent="0.3">
      <c r="A15329" s="7" t="str">
        <f>HYPERLINK("http://www.eatonpowersource.com/products/details/201837-012","201837-012")</f>
        <v>201837-012</v>
      </c>
      <c r="B15329" s="8" t="s">
        <v>14671</v>
      </c>
    </row>
    <row r="15330" spans="1:2" x14ac:dyDescent="0.3">
      <c r="A15330" s="9" t="str">
        <f>HYPERLINK("http://www.eatonpowersource.com/products/details/201837-020","201837-020")</f>
        <v>201837-020</v>
      </c>
      <c r="B15330" s="10" t="s">
        <v>14671</v>
      </c>
    </row>
    <row r="15331" spans="1:2" x14ac:dyDescent="0.3">
      <c r="A15331" s="7" t="str">
        <f>HYPERLINK("http://www.eatonpowersource.com/products/details/201837-024","201837-024")</f>
        <v>201837-024</v>
      </c>
      <c r="B15331" s="8" t="s">
        <v>14671</v>
      </c>
    </row>
    <row r="15332" spans="1:2" x14ac:dyDescent="0.3">
      <c r="A15332" s="9" t="str">
        <f>HYPERLINK("http://www.eatonpowersource.com/products/details/201837-028","201837-028")</f>
        <v>201837-028</v>
      </c>
      <c r="B15332" s="10" t="s">
        <v>14671</v>
      </c>
    </row>
    <row r="15333" spans="1:2" x14ac:dyDescent="0.3">
      <c r="A15333" s="7" t="str">
        <f>HYPERLINK("http://www.eatonpowersource.com/products/details/201839-001","201839-001")</f>
        <v>201839-001</v>
      </c>
      <c r="B15333" s="8" t="s">
        <v>14672</v>
      </c>
    </row>
    <row r="15334" spans="1:2" x14ac:dyDescent="0.3">
      <c r="A15334" s="9" t="str">
        <f>HYPERLINK("http://www.eatonpowersource.com/products/details/201839-002","201839-002")</f>
        <v>201839-002</v>
      </c>
      <c r="B15334" s="10" t="s">
        <v>14673</v>
      </c>
    </row>
    <row r="15335" spans="1:2" x14ac:dyDescent="0.3">
      <c r="A15335" s="7" t="str">
        <f>HYPERLINK("http://www.eatonpowersource.com/products/details/201840-001","201840-001")</f>
        <v>201840-001</v>
      </c>
      <c r="B15335" s="8" t="s">
        <v>14674</v>
      </c>
    </row>
    <row r="15336" spans="1:2" x14ac:dyDescent="0.3">
      <c r="A15336" s="9" t="str">
        <f>HYPERLINK("http://www.eatonpowersource.com/products/details/201840-004","201840-004")</f>
        <v>201840-004</v>
      </c>
      <c r="B15336" s="10" t="s">
        <v>14675</v>
      </c>
    </row>
    <row r="15337" spans="1:2" x14ac:dyDescent="0.3">
      <c r="A15337" s="7" t="str">
        <f>HYPERLINK("http://www.eatonpowersource.com/products/details/201868-002","201868-002")</f>
        <v>201868-002</v>
      </c>
      <c r="B15337" s="8" t="s">
        <v>14676</v>
      </c>
    </row>
    <row r="15338" spans="1:2" x14ac:dyDescent="0.3">
      <c r="A15338" s="9" t="str">
        <f>HYPERLINK("http://www.eatonpowersource.com/products/details/201971-001","201971-001")</f>
        <v>201971-001</v>
      </c>
      <c r="B15338" s="10" t="s">
        <v>14677</v>
      </c>
    </row>
    <row r="15339" spans="1:2" x14ac:dyDescent="0.3">
      <c r="A15339" s="7" t="str">
        <f>HYPERLINK("http://www.eatonpowersource.com/products/details/202029-002","202029-002")</f>
        <v>202029-002</v>
      </c>
      <c r="B15339" s="8" t="s">
        <v>14678</v>
      </c>
    </row>
    <row r="15340" spans="1:2" x14ac:dyDescent="0.3">
      <c r="A15340" s="9" t="str">
        <f>HYPERLINK("http://www.eatonpowersource.com/products/details/202054-001","202054-001")</f>
        <v>202054-001</v>
      </c>
      <c r="B15340" s="10" t="s">
        <v>14679</v>
      </c>
    </row>
    <row r="15341" spans="1:2" x14ac:dyDescent="0.3">
      <c r="A15341" s="7" t="str">
        <f>HYPERLINK("http://www.eatonpowersource.com/products/details/202442-001","202442-001")</f>
        <v>202442-001</v>
      </c>
      <c r="B15341" s="8" t="s">
        <v>14680</v>
      </c>
    </row>
    <row r="15342" spans="1:2" x14ac:dyDescent="0.3">
      <c r="A15342" s="9" t="str">
        <f>HYPERLINK("http://www.eatonpowersource.com/products/details/202442-096","202442-096")</f>
        <v>202442-096</v>
      </c>
      <c r="B15342" s="10" t="s">
        <v>14681</v>
      </c>
    </row>
    <row r="15343" spans="1:2" x14ac:dyDescent="0.3">
      <c r="A15343" s="7" t="str">
        <f>HYPERLINK("http://www.eatonpowersource.com/products/details/202442-099","202442-099")</f>
        <v>202442-099</v>
      </c>
      <c r="B15343" s="8" t="s">
        <v>14682</v>
      </c>
    </row>
    <row r="15344" spans="1:2" x14ac:dyDescent="0.3">
      <c r="A15344" s="9" t="str">
        <f>HYPERLINK("http://www.eatonpowersource.com/products/details/202861-002","202861-002")</f>
        <v>202861-002</v>
      </c>
      <c r="B15344" s="10" t="s">
        <v>14683</v>
      </c>
    </row>
    <row r="15345" spans="1:2" x14ac:dyDescent="0.3">
      <c r="A15345" s="7" t="str">
        <f>HYPERLINK("http://www.eatonpowersource.com/products/details/202861-003","202861-003")</f>
        <v>202861-003</v>
      </c>
      <c r="B15345" s="8" t="s">
        <v>14683</v>
      </c>
    </row>
    <row r="15346" spans="1:2" x14ac:dyDescent="0.3">
      <c r="A15346" s="9" t="str">
        <f>HYPERLINK("http://www.eatonpowersource.com/products/details/202861-006","202861-006")</f>
        <v>202861-006</v>
      </c>
      <c r="B15346" s="10" t="s">
        <v>14683</v>
      </c>
    </row>
    <row r="15347" spans="1:2" x14ac:dyDescent="0.3">
      <c r="A15347" s="7" t="str">
        <f>HYPERLINK("http://www.eatonpowersource.com/products/details/202861-008","202861-008")</f>
        <v>202861-008</v>
      </c>
      <c r="B15347" s="8" t="s">
        <v>14684</v>
      </c>
    </row>
    <row r="15348" spans="1:2" x14ac:dyDescent="0.3">
      <c r="A15348" s="9" t="str">
        <f>HYPERLINK("http://www.eatonpowersource.com/products/details/202861-010","202861-010")</f>
        <v>202861-010</v>
      </c>
      <c r="B15348" s="10" t="s">
        <v>14683</v>
      </c>
    </row>
    <row r="15349" spans="1:2" x14ac:dyDescent="0.3">
      <c r="A15349" s="7" t="str">
        <f>HYPERLINK("http://www.eatonpowersource.com/products/details/202861-052","202861-052")</f>
        <v>202861-052</v>
      </c>
      <c r="B15349" s="8" t="s">
        <v>14683</v>
      </c>
    </row>
    <row r="15350" spans="1:2" x14ac:dyDescent="0.3">
      <c r="A15350" s="9" t="str">
        <f>HYPERLINK("http://www.eatonpowersource.com/products/details/202861-098","202861-098")</f>
        <v>202861-098</v>
      </c>
      <c r="B15350" s="10" t="s">
        <v>14685</v>
      </c>
    </row>
    <row r="15351" spans="1:2" x14ac:dyDescent="0.3">
      <c r="A15351" s="7" t="str">
        <f>HYPERLINK("http://www.eatonpowersource.com/products/details/202862-003","202862-003")</f>
        <v>202862-003</v>
      </c>
      <c r="B15351" s="8" t="s">
        <v>14686</v>
      </c>
    </row>
    <row r="15352" spans="1:2" x14ac:dyDescent="0.3">
      <c r="A15352" s="9" t="str">
        <f>HYPERLINK("http://www.eatonpowersource.com/products/details/202862-004","202862-004")</f>
        <v>202862-004</v>
      </c>
      <c r="B15352" s="10" t="s">
        <v>14687</v>
      </c>
    </row>
    <row r="15353" spans="1:2" x14ac:dyDescent="0.3">
      <c r="A15353" s="7" t="str">
        <f>HYPERLINK("http://www.eatonpowersource.com/products/details/202871-004","202871-004")</f>
        <v>202871-004</v>
      </c>
      <c r="B15353" s="8" t="s">
        <v>14688</v>
      </c>
    </row>
    <row r="15354" spans="1:2" x14ac:dyDescent="0.3">
      <c r="A15354" s="9" t="str">
        <f>HYPERLINK("http://www.eatonpowersource.com/products/details/202871-005","202871-005")</f>
        <v>202871-005</v>
      </c>
      <c r="B15354" s="10" t="s">
        <v>14688</v>
      </c>
    </row>
    <row r="15355" spans="1:2" x14ac:dyDescent="0.3">
      <c r="A15355" s="7" t="str">
        <f>HYPERLINK("http://www.eatonpowersource.com/products/details/202925-001","202925-001")</f>
        <v>202925-001</v>
      </c>
      <c r="B15355" s="8" t="s">
        <v>14472</v>
      </c>
    </row>
    <row r="15356" spans="1:2" x14ac:dyDescent="0.3">
      <c r="A15356" s="9" t="str">
        <f>HYPERLINK("http://www.eatonpowersource.com/products/details/202925-002","202925-002")</f>
        <v>202925-002</v>
      </c>
      <c r="B15356" s="10" t="s">
        <v>14689</v>
      </c>
    </row>
    <row r="15357" spans="1:2" x14ac:dyDescent="0.3">
      <c r="A15357" s="7" t="str">
        <f>HYPERLINK("http://www.eatonpowersource.com/products/details/202943-001","202943-001")</f>
        <v>202943-001</v>
      </c>
      <c r="B15357" s="8" t="s">
        <v>14690</v>
      </c>
    </row>
    <row r="15358" spans="1:2" x14ac:dyDescent="0.3">
      <c r="A15358" s="9" t="str">
        <f>HYPERLINK("http://www.eatonpowersource.com/products/details/203210-001","203210-001")</f>
        <v>203210-001</v>
      </c>
      <c r="B15358" s="10" t="s">
        <v>14691</v>
      </c>
    </row>
    <row r="15359" spans="1:2" x14ac:dyDescent="0.3">
      <c r="A15359" s="7" t="str">
        <f>HYPERLINK("http://www.eatonpowersource.com/products/details/203225-004","203225-004")</f>
        <v>203225-004</v>
      </c>
      <c r="B15359" s="8" t="s">
        <v>14692</v>
      </c>
    </row>
    <row r="15360" spans="1:2" x14ac:dyDescent="0.3">
      <c r="A15360" s="9" t="str">
        <f>HYPERLINK("http://www.eatonpowersource.com/products/details/203268-001","203268-001")</f>
        <v>203268-001</v>
      </c>
      <c r="B15360" s="10" t="s">
        <v>14693</v>
      </c>
    </row>
    <row r="15361" spans="1:2" x14ac:dyDescent="0.3">
      <c r="A15361" s="7" t="str">
        <f>HYPERLINK("http://www.eatonpowersource.com/products/details/203384-002","203384-002")</f>
        <v>203384-002</v>
      </c>
      <c r="B15361" s="8" t="s">
        <v>14286</v>
      </c>
    </row>
    <row r="15362" spans="1:2" x14ac:dyDescent="0.3">
      <c r="A15362" s="9" t="str">
        <f>HYPERLINK("http://www.eatonpowersource.com/products/details/203516-001","203516-001")</f>
        <v>203516-001</v>
      </c>
      <c r="B15362" s="10" t="s">
        <v>14694</v>
      </c>
    </row>
    <row r="15363" spans="1:2" x14ac:dyDescent="0.3">
      <c r="A15363" s="7" t="str">
        <f>HYPERLINK("http://www.eatonpowersource.com/products/details/203542-001","203542-001")</f>
        <v>203542-001</v>
      </c>
      <c r="B15363" s="8" t="s">
        <v>14695</v>
      </c>
    </row>
    <row r="15364" spans="1:2" x14ac:dyDescent="0.3">
      <c r="A15364" s="9" t="str">
        <f>HYPERLINK("http://www.eatonpowersource.com/products/details/204014-001","204014-001")</f>
        <v>204014-001</v>
      </c>
      <c r="B15364" s="10" t="s">
        <v>14696</v>
      </c>
    </row>
    <row r="15365" spans="1:2" x14ac:dyDescent="0.3">
      <c r="A15365" s="7" t="str">
        <f>HYPERLINK("http://www.eatonpowersource.com/products/details/204125-003","204125-003")</f>
        <v>204125-003</v>
      </c>
      <c r="B15365" s="8" t="s">
        <v>14697</v>
      </c>
    </row>
    <row r="15366" spans="1:2" x14ac:dyDescent="0.3">
      <c r="A15366" s="9" t="str">
        <f>HYPERLINK("http://www.eatonpowersource.com/products/details/20599-000","20599-000")</f>
        <v>20599-000</v>
      </c>
      <c r="B15366" s="10" t="s">
        <v>14698</v>
      </c>
    </row>
    <row r="15367" spans="1:2" x14ac:dyDescent="0.3">
      <c r="A15367" s="7" t="str">
        <f>HYPERLINK("http://www.eatonpowersource.com/products/details/208-1013-001","208-1013-001")</f>
        <v>208-1013-001</v>
      </c>
      <c r="B15367" s="8" t="s">
        <v>14699</v>
      </c>
    </row>
    <row r="15368" spans="1:2" x14ac:dyDescent="0.3">
      <c r="A15368" s="9" t="str">
        <f>HYPERLINK("http://www.eatonpowersource.com/products/details/208-1017-002","208-1017-002")</f>
        <v>208-1017-002</v>
      </c>
      <c r="B15368" s="10" t="s">
        <v>14700</v>
      </c>
    </row>
    <row r="15369" spans="1:2" x14ac:dyDescent="0.3">
      <c r="A15369" s="7" t="str">
        <f>HYPERLINK("http://www.eatonpowersource.com/products/details/208-1022-001","208-1022-001")</f>
        <v>208-1022-001</v>
      </c>
      <c r="B15369" s="8" t="s">
        <v>14701</v>
      </c>
    </row>
    <row r="15370" spans="1:2" x14ac:dyDescent="0.3">
      <c r="A15370" s="9" t="str">
        <f>HYPERLINK("http://www.eatonpowersource.com/products/details/209-1005-001","209-1005-001")</f>
        <v>209-1005-001</v>
      </c>
      <c r="B15370" s="10" t="s">
        <v>14702</v>
      </c>
    </row>
    <row r="15371" spans="1:2" x14ac:dyDescent="0.3">
      <c r="A15371" s="7" t="str">
        <f>HYPERLINK("http://www.eatonpowersource.com/products/details/209-1007-001","209-1007-001")</f>
        <v>209-1007-001</v>
      </c>
      <c r="B15371" s="8" t="s">
        <v>11740</v>
      </c>
    </row>
    <row r="15372" spans="1:2" x14ac:dyDescent="0.3">
      <c r="A15372" s="9" t="str">
        <f>HYPERLINK("http://www.eatonpowersource.com/products/details/209-1023-001","209-1023-001")</f>
        <v>209-1023-001</v>
      </c>
      <c r="B15372" s="10" t="s">
        <v>11740</v>
      </c>
    </row>
    <row r="15373" spans="1:2" x14ac:dyDescent="0.3">
      <c r="A15373" s="7" t="str">
        <f>HYPERLINK("http://www.eatonpowersource.com/products/details/21084-000","21084-000")</f>
        <v>21084-000</v>
      </c>
      <c r="B15373" s="8" t="s">
        <v>9646</v>
      </c>
    </row>
    <row r="15374" spans="1:2" x14ac:dyDescent="0.3">
      <c r="A15374" s="9" t="str">
        <f>HYPERLINK("http://www.eatonpowersource.com/products/details/21122-000","21122-000")</f>
        <v>21122-000</v>
      </c>
      <c r="B15374" s="10" t="s">
        <v>2797</v>
      </c>
    </row>
    <row r="15375" spans="1:2" x14ac:dyDescent="0.3">
      <c r="A15375" s="7" t="str">
        <f>HYPERLINK("http://www.eatonpowersource.com/products/details/21300-923","21300-923")</f>
        <v>21300-923</v>
      </c>
      <c r="B15375" s="8" t="s">
        <v>14703</v>
      </c>
    </row>
    <row r="15376" spans="1:2" x14ac:dyDescent="0.3">
      <c r="A15376" s="9" t="str">
        <f>HYPERLINK("http://www.eatonpowersource.com/products/details/21300-932","21300-932")</f>
        <v>21300-932</v>
      </c>
      <c r="B15376" s="10" t="s">
        <v>14703</v>
      </c>
    </row>
    <row r="15377" spans="1:2" x14ac:dyDescent="0.3">
      <c r="A15377" s="7" t="str">
        <f>HYPERLINK("http://www.eatonpowersource.com/products/details/21316-000","21316-000")</f>
        <v>21316-000</v>
      </c>
      <c r="B15377" s="8" t="s">
        <v>14704</v>
      </c>
    </row>
    <row r="15378" spans="1:2" x14ac:dyDescent="0.3">
      <c r="A15378" s="9" t="str">
        <f>HYPERLINK("http://www.eatonpowersource.com/products/details/21317-000","21317-000")</f>
        <v>21317-000</v>
      </c>
      <c r="B15378" s="10" t="s">
        <v>14705</v>
      </c>
    </row>
    <row r="15379" spans="1:2" x14ac:dyDescent="0.3">
      <c r="A15379" s="7" t="str">
        <f>HYPERLINK("http://www.eatonpowersource.com/products/details/21318-000","21318-000")</f>
        <v>21318-000</v>
      </c>
      <c r="B15379" s="8" t="s">
        <v>14706</v>
      </c>
    </row>
    <row r="15380" spans="1:2" x14ac:dyDescent="0.3">
      <c r="A15380" s="9" t="str">
        <f>HYPERLINK("http://www.eatonpowersource.com/products/details/21371-004","21371-004")</f>
        <v>21371-004</v>
      </c>
      <c r="B15380" s="10" t="s">
        <v>14707</v>
      </c>
    </row>
    <row r="15381" spans="1:2" x14ac:dyDescent="0.3">
      <c r="A15381" s="7" t="str">
        <f>HYPERLINK("http://www.eatonpowersource.com/products/details/21371-005","21371-005")</f>
        <v>21371-005</v>
      </c>
      <c r="B15381" s="8" t="s">
        <v>14707</v>
      </c>
    </row>
    <row r="15382" spans="1:2" x14ac:dyDescent="0.3">
      <c r="A15382" s="9" t="str">
        <f>HYPERLINK("http://www.eatonpowersource.com/products/details/21371-006","21371-006")</f>
        <v>21371-006</v>
      </c>
      <c r="B15382" s="10" t="s">
        <v>14707</v>
      </c>
    </row>
    <row r="15383" spans="1:2" x14ac:dyDescent="0.3">
      <c r="A15383" s="7" t="str">
        <f>HYPERLINK("http://www.eatonpowersource.com/products/details/21371-007","21371-007")</f>
        <v>21371-007</v>
      </c>
      <c r="B15383" s="8" t="s">
        <v>14707</v>
      </c>
    </row>
    <row r="15384" spans="1:2" x14ac:dyDescent="0.3">
      <c r="A15384" s="9" t="str">
        <f>HYPERLINK("http://www.eatonpowersource.com/products/details/21371-008","21371-008")</f>
        <v>21371-008</v>
      </c>
      <c r="B15384" s="10" t="s">
        <v>14707</v>
      </c>
    </row>
    <row r="15385" spans="1:2" x14ac:dyDescent="0.3">
      <c r="A15385" s="7" t="str">
        <f>HYPERLINK("http://www.eatonpowersource.com/products/details/21371-009","21371-009")</f>
        <v>21371-009</v>
      </c>
      <c r="B15385" s="8" t="s">
        <v>14707</v>
      </c>
    </row>
    <row r="15386" spans="1:2" x14ac:dyDescent="0.3">
      <c r="A15386" s="9" t="str">
        <f>HYPERLINK("http://www.eatonpowersource.com/products/details/21371-010","21371-010")</f>
        <v>21371-010</v>
      </c>
      <c r="B15386" s="10" t="s">
        <v>14708</v>
      </c>
    </row>
    <row r="15387" spans="1:2" x14ac:dyDescent="0.3">
      <c r="A15387" s="7" t="str">
        <f>HYPERLINK("http://www.eatonpowersource.com/products/details/21371-012","21371-012")</f>
        <v>21371-012</v>
      </c>
      <c r="B15387" s="8" t="s">
        <v>14707</v>
      </c>
    </row>
    <row r="15388" spans="1:2" x14ac:dyDescent="0.3">
      <c r="A15388" s="9" t="str">
        <f>HYPERLINK("http://www.eatonpowersource.com/products/details/21372-002","21372-002")</f>
        <v>21372-002</v>
      </c>
      <c r="B15388" s="10" t="s">
        <v>14709</v>
      </c>
    </row>
    <row r="15389" spans="1:2" x14ac:dyDescent="0.3">
      <c r="A15389" s="7" t="str">
        <f>HYPERLINK("http://www.eatonpowersource.com/products/details/21372-003","21372-003")</f>
        <v>21372-003</v>
      </c>
      <c r="B15389" s="8" t="s">
        <v>14710</v>
      </c>
    </row>
    <row r="15390" spans="1:2" x14ac:dyDescent="0.3">
      <c r="A15390" s="9" t="str">
        <f>HYPERLINK("http://www.eatonpowersource.com/products/details/21372-004","21372-004")</f>
        <v>21372-004</v>
      </c>
      <c r="B15390" s="10" t="s">
        <v>14710</v>
      </c>
    </row>
    <row r="15391" spans="1:2" x14ac:dyDescent="0.3">
      <c r="A15391" s="7" t="str">
        <f>HYPERLINK("http://www.eatonpowersource.com/products/details/21372-005","21372-005")</f>
        <v>21372-005</v>
      </c>
      <c r="B15391" s="8" t="s">
        <v>14710</v>
      </c>
    </row>
    <row r="15392" spans="1:2" x14ac:dyDescent="0.3">
      <c r="A15392" s="9" t="str">
        <f>HYPERLINK("http://www.eatonpowersource.com/products/details/21372-007","21372-007")</f>
        <v>21372-007</v>
      </c>
      <c r="B15392" s="10" t="s">
        <v>14711</v>
      </c>
    </row>
    <row r="15393" spans="1:2" x14ac:dyDescent="0.3">
      <c r="A15393" s="7" t="str">
        <f>HYPERLINK("http://www.eatonpowersource.com/products/details/21372-008","21372-008")</f>
        <v>21372-008</v>
      </c>
      <c r="B15393" s="8" t="s">
        <v>14710</v>
      </c>
    </row>
    <row r="15394" spans="1:2" x14ac:dyDescent="0.3">
      <c r="A15394" s="9" t="str">
        <f>HYPERLINK("http://www.eatonpowersource.com/products/details/21372-010","21372-010")</f>
        <v>21372-010</v>
      </c>
      <c r="B15394" s="10" t="s">
        <v>14709</v>
      </c>
    </row>
    <row r="15395" spans="1:2" x14ac:dyDescent="0.3">
      <c r="A15395" s="7" t="str">
        <f>HYPERLINK("http://www.eatonpowersource.com/products/details/21373-001","21373-001")</f>
        <v>21373-001</v>
      </c>
      <c r="B15395" s="8" t="s">
        <v>14712</v>
      </c>
    </row>
    <row r="15396" spans="1:2" x14ac:dyDescent="0.3">
      <c r="A15396" s="9" t="str">
        <f>HYPERLINK("http://www.eatonpowersource.com/products/details/21373-002","21373-002")</f>
        <v>21373-002</v>
      </c>
      <c r="B15396" s="10" t="s">
        <v>14712</v>
      </c>
    </row>
    <row r="15397" spans="1:2" x14ac:dyDescent="0.3">
      <c r="A15397" s="7" t="str">
        <f>HYPERLINK("http://www.eatonpowersource.com/products/details/21373-003","21373-003")</f>
        <v>21373-003</v>
      </c>
      <c r="B15397" s="8" t="s">
        <v>14712</v>
      </c>
    </row>
    <row r="15398" spans="1:2" x14ac:dyDescent="0.3">
      <c r="A15398" s="9" t="str">
        <f>HYPERLINK("http://www.eatonpowersource.com/products/details/21373-004","21373-004")</f>
        <v>21373-004</v>
      </c>
      <c r="B15398" s="10" t="s">
        <v>14712</v>
      </c>
    </row>
    <row r="15399" spans="1:2" x14ac:dyDescent="0.3">
      <c r="A15399" s="7" t="str">
        <f>HYPERLINK("http://www.eatonpowersource.com/products/details/21373-005","21373-005")</f>
        <v>21373-005</v>
      </c>
      <c r="B15399" s="8" t="s">
        <v>14712</v>
      </c>
    </row>
    <row r="15400" spans="1:2" x14ac:dyDescent="0.3">
      <c r="A15400" s="9" t="str">
        <f>HYPERLINK("http://www.eatonpowersource.com/products/details/21373-006","21373-006")</f>
        <v>21373-006</v>
      </c>
      <c r="B15400" s="10" t="s">
        <v>14712</v>
      </c>
    </row>
    <row r="15401" spans="1:2" x14ac:dyDescent="0.3">
      <c r="A15401" s="7" t="str">
        <f>HYPERLINK("http://www.eatonpowersource.com/products/details/21373-007","21373-007")</f>
        <v>21373-007</v>
      </c>
      <c r="B15401" s="8" t="s">
        <v>14712</v>
      </c>
    </row>
    <row r="15402" spans="1:2" x14ac:dyDescent="0.3">
      <c r="A15402" s="9" t="str">
        <f>HYPERLINK("http://www.eatonpowersource.com/products/details/21438-001","21438-001")</f>
        <v>21438-001</v>
      </c>
      <c r="B15402" s="10" t="s">
        <v>14713</v>
      </c>
    </row>
    <row r="15403" spans="1:2" x14ac:dyDescent="0.3">
      <c r="A15403" s="7" t="str">
        <f>HYPERLINK("http://www.eatonpowersource.com/products/details/21438-002","21438-002")</f>
        <v>21438-002</v>
      </c>
      <c r="B15403" s="8" t="s">
        <v>14713</v>
      </c>
    </row>
    <row r="15404" spans="1:2" x14ac:dyDescent="0.3">
      <c r="A15404" s="9" t="str">
        <f>HYPERLINK("http://www.eatonpowersource.com/products/details/21466-000","21466-000")</f>
        <v>21466-000</v>
      </c>
      <c r="B15404" s="10" t="s">
        <v>14714</v>
      </c>
    </row>
    <row r="15405" spans="1:2" x14ac:dyDescent="0.3">
      <c r="A15405" s="7" t="str">
        <f>HYPERLINK("http://www.eatonpowersource.com/products/details/21513-000","21513-000")</f>
        <v>21513-000</v>
      </c>
      <c r="B15405" s="8" t="s">
        <v>14715</v>
      </c>
    </row>
    <row r="15406" spans="1:2" x14ac:dyDescent="0.3">
      <c r="A15406" s="9" t="str">
        <f>HYPERLINK("http://www.eatonpowersource.com/products/details/21514-000","21514-000")</f>
        <v>21514-000</v>
      </c>
      <c r="B15406" s="10" t="s">
        <v>14716</v>
      </c>
    </row>
    <row r="15407" spans="1:2" x14ac:dyDescent="0.3">
      <c r="A15407" s="7" t="str">
        <f>HYPERLINK("http://www.eatonpowersource.com/products/details/21519-001","21519-001")</f>
        <v>21519-001</v>
      </c>
      <c r="B15407" s="8" t="s">
        <v>14717</v>
      </c>
    </row>
    <row r="15408" spans="1:2" x14ac:dyDescent="0.3">
      <c r="A15408" s="9" t="str">
        <f>HYPERLINK("http://www.eatonpowersource.com/products/details/21519-004","21519-004")</f>
        <v>21519-004</v>
      </c>
      <c r="B15408" s="10" t="s">
        <v>14718</v>
      </c>
    </row>
    <row r="15409" spans="1:2" x14ac:dyDescent="0.3">
      <c r="A15409" s="7" t="str">
        <f>HYPERLINK("http://www.eatonpowersource.com/products/details/21519-005","21519-005")</f>
        <v>21519-005</v>
      </c>
      <c r="B15409" s="8" t="s">
        <v>14719</v>
      </c>
    </row>
    <row r="15410" spans="1:2" x14ac:dyDescent="0.3">
      <c r="A15410" s="9" t="str">
        <f>HYPERLINK("http://www.eatonpowersource.com/products/details/21540-001","21540-001")</f>
        <v>21540-001</v>
      </c>
      <c r="B15410" s="10" t="s">
        <v>14720</v>
      </c>
    </row>
    <row r="15411" spans="1:2" x14ac:dyDescent="0.3">
      <c r="A15411" s="7" t="str">
        <f>HYPERLINK("http://www.eatonpowersource.com/products/details/21540-024","21540-024")</f>
        <v>21540-024</v>
      </c>
      <c r="B15411" s="8" t="s">
        <v>14661</v>
      </c>
    </row>
    <row r="15412" spans="1:2" x14ac:dyDescent="0.3">
      <c r="A15412" s="9" t="str">
        <f>HYPERLINK("http://www.eatonpowersource.com/products/details/21540-039","21540-039")</f>
        <v>21540-039</v>
      </c>
      <c r="B15412" s="10" t="s">
        <v>14721</v>
      </c>
    </row>
    <row r="15413" spans="1:2" x14ac:dyDescent="0.3">
      <c r="A15413" s="7" t="str">
        <f>HYPERLINK("http://www.eatonpowersource.com/products/details/21561-000","21561-000")</f>
        <v>21561-000</v>
      </c>
      <c r="B15413" s="8" t="s">
        <v>14722</v>
      </c>
    </row>
    <row r="15414" spans="1:2" x14ac:dyDescent="0.3">
      <c r="A15414" s="9" t="str">
        <f>HYPERLINK("http://www.eatonpowersource.com/products/details/21564-001","21564-001")</f>
        <v>21564-001</v>
      </c>
      <c r="B15414" s="10" t="s">
        <v>14723</v>
      </c>
    </row>
    <row r="15415" spans="1:2" x14ac:dyDescent="0.3">
      <c r="A15415" s="7" t="str">
        <f>HYPERLINK("http://www.eatonpowersource.com/products/details/21564-002","21564-002")</f>
        <v>21564-002</v>
      </c>
      <c r="B15415" s="8" t="s">
        <v>14724</v>
      </c>
    </row>
    <row r="15416" spans="1:2" x14ac:dyDescent="0.3">
      <c r="A15416" s="9" t="str">
        <f>HYPERLINK("http://www.eatonpowersource.com/products/details/21564-004","21564-004")</f>
        <v>21564-004</v>
      </c>
      <c r="B15416" s="10" t="s">
        <v>14725</v>
      </c>
    </row>
    <row r="15417" spans="1:2" x14ac:dyDescent="0.3">
      <c r="A15417" s="7" t="str">
        <f>HYPERLINK("http://www.eatonpowersource.com/products/details/21564-005","21564-005")</f>
        <v>21564-005</v>
      </c>
      <c r="B15417" s="8" t="s">
        <v>14726</v>
      </c>
    </row>
    <row r="15418" spans="1:2" x14ac:dyDescent="0.3">
      <c r="A15418" s="9" t="str">
        <f>HYPERLINK("http://www.eatonpowersource.com/products/details/21564-006","21564-006")</f>
        <v>21564-006</v>
      </c>
      <c r="B15418" s="10" t="s">
        <v>14727</v>
      </c>
    </row>
    <row r="15419" spans="1:2" x14ac:dyDescent="0.3">
      <c r="A15419" s="7" t="str">
        <f>HYPERLINK("http://www.eatonpowersource.com/products/details/21564-007","21564-007")</f>
        <v>21564-007</v>
      </c>
      <c r="B15419" s="8" t="s">
        <v>14728</v>
      </c>
    </row>
    <row r="15420" spans="1:2" x14ac:dyDescent="0.3">
      <c r="A15420" s="9" t="str">
        <f>HYPERLINK("http://www.eatonpowersource.com/products/details/21564-008","21564-008")</f>
        <v>21564-008</v>
      </c>
      <c r="B15420" s="10" t="s">
        <v>14729</v>
      </c>
    </row>
    <row r="15421" spans="1:2" x14ac:dyDescent="0.3">
      <c r="A15421" s="7" t="str">
        <f>HYPERLINK("http://www.eatonpowersource.com/products/details/21564-010","21564-010")</f>
        <v>21564-010</v>
      </c>
      <c r="B15421" s="8" t="s">
        <v>14730</v>
      </c>
    </row>
    <row r="15422" spans="1:2" x14ac:dyDescent="0.3">
      <c r="A15422" s="9" t="str">
        <f>HYPERLINK("http://www.eatonpowersource.com/products/details/21564-015","21564-015")</f>
        <v>21564-015</v>
      </c>
      <c r="B15422" s="10" t="s">
        <v>14725</v>
      </c>
    </row>
    <row r="15423" spans="1:2" x14ac:dyDescent="0.3">
      <c r="A15423" s="7" t="str">
        <f>HYPERLINK("http://www.eatonpowersource.com/products/details/21564-026","21564-026")</f>
        <v>21564-026</v>
      </c>
      <c r="B15423" s="8" t="s">
        <v>14725</v>
      </c>
    </row>
    <row r="15424" spans="1:2" x14ac:dyDescent="0.3">
      <c r="A15424" s="9" t="str">
        <f>HYPERLINK("http://www.eatonpowersource.com/products/details/21564-031","21564-031")</f>
        <v>21564-031</v>
      </c>
      <c r="B15424" s="10" t="s">
        <v>14725</v>
      </c>
    </row>
    <row r="15425" spans="1:2" x14ac:dyDescent="0.3">
      <c r="A15425" s="7" t="str">
        <f>HYPERLINK("http://www.eatonpowersource.com/products/details/21564-032","21564-032")</f>
        <v>21564-032</v>
      </c>
      <c r="B15425" s="8" t="s">
        <v>14731</v>
      </c>
    </row>
    <row r="15426" spans="1:2" x14ac:dyDescent="0.3">
      <c r="A15426" s="9" t="str">
        <f>HYPERLINK("http://www.eatonpowersource.com/products/details/21564-033","21564-033")</f>
        <v>21564-033</v>
      </c>
      <c r="B15426" s="10" t="s">
        <v>14732</v>
      </c>
    </row>
    <row r="15427" spans="1:2" x14ac:dyDescent="0.3">
      <c r="A15427" s="7" t="str">
        <f>HYPERLINK("http://www.eatonpowersource.com/products/details/21564-038","21564-038")</f>
        <v>21564-038</v>
      </c>
      <c r="B15427" s="8" t="s">
        <v>14725</v>
      </c>
    </row>
    <row r="15428" spans="1:2" x14ac:dyDescent="0.3">
      <c r="A15428" s="9" t="str">
        <f>HYPERLINK("http://www.eatonpowersource.com/products/details/21569-000","21569-000")</f>
        <v>21569-000</v>
      </c>
      <c r="B15428" s="10" t="s">
        <v>13391</v>
      </c>
    </row>
    <row r="15429" spans="1:2" x14ac:dyDescent="0.3">
      <c r="A15429" s="7" t="str">
        <f>HYPERLINK("http://www.eatonpowersource.com/products/details/21578-001","21578-001")</f>
        <v>21578-001</v>
      </c>
      <c r="B15429" s="8" t="s">
        <v>14733</v>
      </c>
    </row>
    <row r="15430" spans="1:2" x14ac:dyDescent="0.3">
      <c r="A15430" s="9" t="str">
        <f>HYPERLINK("http://www.eatonpowersource.com/products/details/21578-003","21578-003")</f>
        <v>21578-003</v>
      </c>
      <c r="B15430" s="10" t="s">
        <v>14734</v>
      </c>
    </row>
    <row r="15431" spans="1:2" x14ac:dyDescent="0.3">
      <c r="A15431" s="7" t="str">
        <f>HYPERLINK("http://www.eatonpowersource.com/products/details/21578-004","21578-004")</f>
        <v>21578-004</v>
      </c>
      <c r="B15431" s="8" t="s">
        <v>14735</v>
      </c>
    </row>
    <row r="15432" spans="1:2" x14ac:dyDescent="0.3">
      <c r="A15432" s="9" t="str">
        <f>HYPERLINK("http://www.eatonpowersource.com/products/details/21578-005","21578-005")</f>
        <v>21578-005</v>
      </c>
      <c r="B15432" s="10" t="s">
        <v>14736</v>
      </c>
    </row>
    <row r="15433" spans="1:2" x14ac:dyDescent="0.3">
      <c r="A15433" s="7" t="str">
        <f>HYPERLINK("http://www.eatonpowersource.com/products/details/21578-008","21578-008")</f>
        <v>21578-008</v>
      </c>
      <c r="B15433" s="8" t="s">
        <v>14737</v>
      </c>
    </row>
    <row r="15434" spans="1:2" x14ac:dyDescent="0.3">
      <c r="A15434" s="9" t="str">
        <f>HYPERLINK("http://www.eatonpowersource.com/products/details/21578-016","21578-016")</f>
        <v>21578-016</v>
      </c>
      <c r="B15434" s="10" t="s">
        <v>14738</v>
      </c>
    </row>
    <row r="15435" spans="1:2" x14ac:dyDescent="0.3">
      <c r="A15435" s="7" t="str">
        <f>HYPERLINK("http://www.eatonpowersource.com/products/details/21578-018","21578-018")</f>
        <v>21578-018</v>
      </c>
      <c r="B15435" s="8" t="s">
        <v>14739</v>
      </c>
    </row>
    <row r="15436" spans="1:2" x14ac:dyDescent="0.3">
      <c r="A15436" s="9" t="str">
        <f>HYPERLINK("http://www.eatonpowersource.com/products/details/21578-064","21578-064")</f>
        <v>21578-064</v>
      </c>
      <c r="B15436" s="10" t="s">
        <v>14739</v>
      </c>
    </row>
    <row r="15437" spans="1:2" x14ac:dyDescent="0.3">
      <c r="A15437" s="7" t="str">
        <f>HYPERLINK("http://www.eatonpowersource.com/products/details/21601-000","21601-000")</f>
        <v>21601-000</v>
      </c>
      <c r="B15437" s="8" t="s">
        <v>14740</v>
      </c>
    </row>
    <row r="15438" spans="1:2" x14ac:dyDescent="0.3">
      <c r="A15438" s="9" t="str">
        <f>HYPERLINK("http://www.eatonpowersource.com/products/details/21602-001","21602-001")</f>
        <v>21602-001</v>
      </c>
      <c r="B15438" s="10" t="s">
        <v>14741</v>
      </c>
    </row>
    <row r="15439" spans="1:2" x14ac:dyDescent="0.3">
      <c r="A15439" s="7" t="str">
        <f>HYPERLINK("http://www.eatonpowersource.com/products/details/21602-004","21602-004")</f>
        <v>21602-004</v>
      </c>
      <c r="B15439" s="8" t="s">
        <v>14742</v>
      </c>
    </row>
    <row r="15440" spans="1:2" x14ac:dyDescent="0.3">
      <c r="A15440" s="9" t="str">
        <f>HYPERLINK("http://www.eatonpowersource.com/products/details/21602-013","21602-013")</f>
        <v>21602-013</v>
      </c>
      <c r="B15440" s="10" t="s">
        <v>14743</v>
      </c>
    </row>
    <row r="15441" spans="1:2" x14ac:dyDescent="0.3">
      <c r="A15441" s="7" t="str">
        <f>HYPERLINK("http://www.eatonpowersource.com/products/details/21618-001","21618-001")</f>
        <v>21618-001</v>
      </c>
      <c r="B15441" s="8" t="s">
        <v>14744</v>
      </c>
    </row>
    <row r="15442" spans="1:2" x14ac:dyDescent="0.3">
      <c r="A15442" s="9" t="str">
        <f>HYPERLINK("http://www.eatonpowersource.com/products/details/21618-002","21618-002")</f>
        <v>21618-002</v>
      </c>
      <c r="B15442" s="10" t="s">
        <v>14744</v>
      </c>
    </row>
    <row r="15443" spans="1:2" x14ac:dyDescent="0.3">
      <c r="A15443" s="7" t="str">
        <f>HYPERLINK("http://www.eatonpowersource.com/products/details/21618-003","21618-003")</f>
        <v>21618-003</v>
      </c>
      <c r="B15443" s="8" t="s">
        <v>14744</v>
      </c>
    </row>
    <row r="15444" spans="1:2" x14ac:dyDescent="0.3">
      <c r="A15444" s="9" t="str">
        <f>HYPERLINK("http://www.eatonpowersource.com/products/details/21618-004","21618-004")</f>
        <v>21618-004</v>
      </c>
      <c r="B15444" s="10" t="s">
        <v>14744</v>
      </c>
    </row>
    <row r="15445" spans="1:2" x14ac:dyDescent="0.3">
      <c r="A15445" s="7" t="str">
        <f>HYPERLINK("http://www.eatonpowersource.com/products/details/21618-005","21618-005")</f>
        <v>21618-005</v>
      </c>
      <c r="B15445" s="8" t="s">
        <v>14744</v>
      </c>
    </row>
    <row r="15446" spans="1:2" x14ac:dyDescent="0.3">
      <c r="A15446" s="9" t="str">
        <f>HYPERLINK("http://www.eatonpowersource.com/products/details/21618-007","21618-007")</f>
        <v>21618-007</v>
      </c>
      <c r="B15446" s="10" t="s">
        <v>14744</v>
      </c>
    </row>
    <row r="15447" spans="1:2" x14ac:dyDescent="0.3">
      <c r="A15447" s="7" t="str">
        <f>HYPERLINK("http://www.eatonpowersource.com/products/details/21618-008","21618-008")</f>
        <v>21618-008</v>
      </c>
      <c r="B15447" s="8" t="s">
        <v>14744</v>
      </c>
    </row>
    <row r="15448" spans="1:2" x14ac:dyDescent="0.3">
      <c r="A15448" s="9" t="str">
        <f>HYPERLINK("http://www.eatonpowersource.com/products/details/21618-009","21618-009")</f>
        <v>21618-009</v>
      </c>
      <c r="B15448" s="10" t="s">
        <v>14744</v>
      </c>
    </row>
    <row r="15449" spans="1:2" x14ac:dyDescent="0.3">
      <c r="A15449" s="7" t="str">
        <f>HYPERLINK("http://www.eatonpowersource.com/products/details/21618-023","21618-023")</f>
        <v>21618-023</v>
      </c>
      <c r="B15449" s="8" t="s">
        <v>14744</v>
      </c>
    </row>
    <row r="15450" spans="1:2" x14ac:dyDescent="0.3">
      <c r="A15450" s="9" t="str">
        <f>HYPERLINK("http://www.eatonpowersource.com/products/details/21618-024","21618-024")</f>
        <v>21618-024</v>
      </c>
      <c r="B15450" s="10" t="s">
        <v>14744</v>
      </c>
    </row>
    <row r="15451" spans="1:2" x14ac:dyDescent="0.3">
      <c r="A15451" s="7" t="str">
        <f>HYPERLINK("http://www.eatonpowersource.com/products/details/21618-026","21618-026")</f>
        <v>21618-026</v>
      </c>
      <c r="B15451" s="8" t="s">
        <v>14744</v>
      </c>
    </row>
    <row r="15452" spans="1:2" x14ac:dyDescent="0.3">
      <c r="A15452" s="9" t="str">
        <f>HYPERLINK("http://www.eatonpowersource.com/products/details/21618-030","21618-030")</f>
        <v>21618-030</v>
      </c>
      <c r="B15452" s="10" t="s">
        <v>14744</v>
      </c>
    </row>
    <row r="15453" spans="1:2" x14ac:dyDescent="0.3">
      <c r="A15453" s="7" t="str">
        <f>HYPERLINK("http://www.eatonpowersource.com/products/details/21618-032","21618-032")</f>
        <v>21618-032</v>
      </c>
      <c r="B15453" s="8" t="s">
        <v>14745</v>
      </c>
    </row>
    <row r="15454" spans="1:2" x14ac:dyDescent="0.3">
      <c r="A15454" s="9" t="str">
        <f>HYPERLINK("http://www.eatonpowersource.com/products/details/21618-049","21618-049")</f>
        <v>21618-049</v>
      </c>
      <c r="B15454" s="10" t="s">
        <v>13905</v>
      </c>
    </row>
    <row r="15455" spans="1:2" x14ac:dyDescent="0.3">
      <c r="A15455" s="7" t="str">
        <f>HYPERLINK("http://www.eatonpowersource.com/products/details/21618-093","21618-093")</f>
        <v>21618-093</v>
      </c>
      <c r="B15455" s="8" t="s">
        <v>14746</v>
      </c>
    </row>
    <row r="15456" spans="1:2" x14ac:dyDescent="0.3">
      <c r="A15456" s="9" t="str">
        <f>HYPERLINK("http://www.eatonpowersource.com/products/details/21618-094","21618-094")</f>
        <v>21618-094</v>
      </c>
      <c r="B15456" s="10" t="s">
        <v>13905</v>
      </c>
    </row>
    <row r="15457" spans="1:2" x14ac:dyDescent="0.3">
      <c r="A15457" s="7" t="str">
        <f>HYPERLINK("http://www.eatonpowersource.com/products/details/21625-001","21625-001")</f>
        <v>21625-001</v>
      </c>
      <c r="B15457" s="8" t="s">
        <v>14747</v>
      </c>
    </row>
    <row r="15458" spans="1:2" x14ac:dyDescent="0.3">
      <c r="A15458" s="9" t="str">
        <f>HYPERLINK("http://www.eatonpowersource.com/products/details/21625-002","21625-002")</f>
        <v>21625-002</v>
      </c>
      <c r="B15458" s="10" t="s">
        <v>14747</v>
      </c>
    </row>
    <row r="15459" spans="1:2" x14ac:dyDescent="0.3">
      <c r="A15459" s="7" t="str">
        <f>HYPERLINK("http://www.eatonpowersource.com/products/details/21625-003","21625-003")</f>
        <v>21625-003</v>
      </c>
      <c r="B15459" s="8" t="s">
        <v>14748</v>
      </c>
    </row>
    <row r="15460" spans="1:2" x14ac:dyDescent="0.3">
      <c r="A15460" s="9" t="str">
        <f>HYPERLINK("http://www.eatonpowersource.com/products/details/21625-004","21625-004")</f>
        <v>21625-004</v>
      </c>
      <c r="B15460" s="10" t="s">
        <v>14747</v>
      </c>
    </row>
    <row r="15461" spans="1:2" x14ac:dyDescent="0.3">
      <c r="A15461" s="7" t="str">
        <f>HYPERLINK("http://www.eatonpowersource.com/products/details/21625-005","21625-005")</f>
        <v>21625-005</v>
      </c>
      <c r="B15461" s="8" t="s">
        <v>14747</v>
      </c>
    </row>
    <row r="15462" spans="1:2" x14ac:dyDescent="0.3">
      <c r="A15462" s="9" t="str">
        <f>HYPERLINK("http://www.eatonpowersource.com/products/details/21625-006","21625-006")</f>
        <v>21625-006</v>
      </c>
      <c r="B15462" s="10" t="s">
        <v>14747</v>
      </c>
    </row>
    <row r="15463" spans="1:2" x14ac:dyDescent="0.3">
      <c r="A15463" s="7" t="str">
        <f>HYPERLINK("http://www.eatonpowersource.com/products/details/21625-007","21625-007")</f>
        <v>21625-007</v>
      </c>
      <c r="B15463" s="8" t="s">
        <v>14747</v>
      </c>
    </row>
    <row r="15464" spans="1:2" x14ac:dyDescent="0.3">
      <c r="A15464" s="9" t="str">
        <f>HYPERLINK("http://www.eatonpowersource.com/products/details/21625-008","21625-008")</f>
        <v>21625-008</v>
      </c>
      <c r="B15464" s="10" t="s">
        <v>14749</v>
      </c>
    </row>
    <row r="15465" spans="1:2" x14ac:dyDescent="0.3">
      <c r="A15465" s="7" t="str">
        <f>HYPERLINK("http://www.eatonpowersource.com/products/details/21625-010","21625-010")</f>
        <v>21625-010</v>
      </c>
      <c r="B15465" s="8" t="s">
        <v>14747</v>
      </c>
    </row>
    <row r="15466" spans="1:2" x14ac:dyDescent="0.3">
      <c r="A15466" s="9" t="str">
        <f>HYPERLINK("http://www.eatonpowersource.com/products/details/21666-000","21666-000")</f>
        <v>21666-000</v>
      </c>
      <c r="B15466" s="10" t="s">
        <v>14750</v>
      </c>
    </row>
    <row r="15467" spans="1:2" x14ac:dyDescent="0.3">
      <c r="A15467" s="7" t="str">
        <f>HYPERLINK("http://www.eatonpowersource.com/products/details/21684-001","21684-001")</f>
        <v>21684-001</v>
      </c>
      <c r="B15467" s="8" t="s">
        <v>14741</v>
      </c>
    </row>
    <row r="15468" spans="1:2" x14ac:dyDescent="0.3">
      <c r="A15468" s="9" t="str">
        <f>HYPERLINK("http://www.eatonpowersource.com/products/details/21722-000","21722-000")</f>
        <v>21722-000</v>
      </c>
      <c r="B15468" s="10" t="s">
        <v>14751</v>
      </c>
    </row>
    <row r="15469" spans="1:2" x14ac:dyDescent="0.3">
      <c r="A15469" s="7" t="str">
        <f>HYPERLINK("http://www.eatonpowersource.com/products/details/21850-022","21850-022")</f>
        <v>21850-022</v>
      </c>
      <c r="B15469" s="8" t="s">
        <v>14752</v>
      </c>
    </row>
    <row r="15470" spans="1:2" x14ac:dyDescent="0.3">
      <c r="A15470" s="9" t="str">
        <f>HYPERLINK("http://www.eatonpowersource.com/products/details/21850-023","21850-023")</f>
        <v>21850-023</v>
      </c>
      <c r="B15470" s="10" t="s">
        <v>14752</v>
      </c>
    </row>
    <row r="15471" spans="1:2" x14ac:dyDescent="0.3">
      <c r="A15471" s="7" t="str">
        <f>HYPERLINK("http://www.eatonpowersource.com/products/details/21850-026","21850-026")</f>
        <v>21850-026</v>
      </c>
      <c r="B15471" s="8" t="s">
        <v>14753</v>
      </c>
    </row>
    <row r="15472" spans="1:2" x14ac:dyDescent="0.3">
      <c r="A15472" s="9" t="str">
        <f>HYPERLINK("http://www.eatonpowersource.com/products/details/22000-001","22000-001")</f>
        <v>22000-001</v>
      </c>
      <c r="B15472" s="10" t="s">
        <v>14754</v>
      </c>
    </row>
    <row r="15473" spans="1:2" x14ac:dyDescent="0.3">
      <c r="A15473" s="7" t="str">
        <f>HYPERLINK("http://www.eatonpowersource.com/products/details/22000-002","22000-002")</f>
        <v>22000-002</v>
      </c>
      <c r="B15473" s="8" t="s">
        <v>14755</v>
      </c>
    </row>
    <row r="15474" spans="1:2" x14ac:dyDescent="0.3">
      <c r="A15474" s="9" t="str">
        <f>HYPERLINK("http://www.eatonpowersource.com/products/details/22000-004","22000-004")</f>
        <v>22000-004</v>
      </c>
      <c r="B15474" s="10" t="s">
        <v>14756</v>
      </c>
    </row>
    <row r="15475" spans="1:2" x14ac:dyDescent="0.3">
      <c r="A15475" s="7" t="str">
        <f>HYPERLINK("http://www.eatonpowersource.com/products/details/22000-005","22000-005")</f>
        <v>22000-005</v>
      </c>
      <c r="B15475" s="8" t="s">
        <v>14757</v>
      </c>
    </row>
    <row r="15476" spans="1:2" x14ac:dyDescent="0.3">
      <c r="A15476" s="9" t="str">
        <f>HYPERLINK("http://www.eatonpowersource.com/products/details/22000-006","22000-006")</f>
        <v>22000-006</v>
      </c>
      <c r="B15476" s="10" t="s">
        <v>14758</v>
      </c>
    </row>
    <row r="15477" spans="1:2" x14ac:dyDescent="0.3">
      <c r="A15477" s="7" t="str">
        <f>HYPERLINK("http://www.eatonpowersource.com/products/details/22000-008","22000-008")</f>
        <v>22000-008</v>
      </c>
      <c r="B15477" s="8" t="s">
        <v>14286</v>
      </c>
    </row>
    <row r="15478" spans="1:2" x14ac:dyDescent="0.3">
      <c r="A15478" s="9" t="str">
        <f>HYPERLINK("http://www.eatonpowersource.com/products/details/22000-012","22000-012")</f>
        <v>22000-012</v>
      </c>
      <c r="B15478" s="10" t="s">
        <v>14756</v>
      </c>
    </row>
    <row r="15479" spans="1:2" x14ac:dyDescent="0.3">
      <c r="A15479" s="7" t="str">
        <f>HYPERLINK("http://www.eatonpowersource.com/products/details/22000-016","22000-016")</f>
        <v>22000-016</v>
      </c>
      <c r="B15479" s="8" t="s">
        <v>14286</v>
      </c>
    </row>
    <row r="15480" spans="1:2" x14ac:dyDescent="0.3">
      <c r="A15480" s="9" t="str">
        <f>HYPERLINK("http://www.eatonpowersource.com/products/details/22000-027","22000-027")</f>
        <v>22000-027</v>
      </c>
      <c r="B15480" s="10" t="s">
        <v>14286</v>
      </c>
    </row>
    <row r="15481" spans="1:2" x14ac:dyDescent="0.3">
      <c r="A15481" s="7" t="str">
        <f>HYPERLINK("http://www.eatonpowersource.com/products/details/22002-000","22002-000")</f>
        <v>22002-000</v>
      </c>
      <c r="B15481" s="8" t="s">
        <v>10035</v>
      </c>
    </row>
    <row r="15482" spans="1:2" x14ac:dyDescent="0.3">
      <c r="A15482" s="9" t="str">
        <f>HYPERLINK("http://www.eatonpowersource.com/products/details/22026-000","22026-000")</f>
        <v>22026-000</v>
      </c>
      <c r="B15482" s="10" t="s">
        <v>14759</v>
      </c>
    </row>
    <row r="15483" spans="1:2" x14ac:dyDescent="0.3">
      <c r="A15483" s="7" t="str">
        <f>HYPERLINK("http://www.eatonpowersource.com/products/details/220449-000","220449-000")</f>
        <v>220449-000</v>
      </c>
      <c r="B15483" s="8" t="s">
        <v>14760</v>
      </c>
    </row>
    <row r="15484" spans="1:2" x14ac:dyDescent="0.3">
      <c r="A15484" s="9" t="str">
        <f>HYPERLINK("http://www.eatonpowersource.com/products/details/220461-000","220461-000")</f>
        <v>220461-000</v>
      </c>
      <c r="B15484" s="10" t="s">
        <v>14761</v>
      </c>
    </row>
    <row r="15485" spans="1:2" x14ac:dyDescent="0.3">
      <c r="A15485" s="7" t="str">
        <f>HYPERLINK("http://www.eatonpowersource.com/products/details/220575-000","220575-000")</f>
        <v>220575-000</v>
      </c>
      <c r="B15485" s="8" t="s">
        <v>14762</v>
      </c>
    </row>
    <row r="15486" spans="1:2" x14ac:dyDescent="0.3">
      <c r="A15486" s="9" t="str">
        <f>HYPERLINK("http://www.eatonpowersource.com/products/details/22075-008","22075-008")</f>
        <v>22075-008</v>
      </c>
      <c r="B15486" s="10" t="s">
        <v>14763</v>
      </c>
    </row>
    <row r="15487" spans="1:2" x14ac:dyDescent="0.3">
      <c r="A15487" s="7" t="str">
        <f>HYPERLINK("http://www.eatonpowersource.com/products/details/220871-000","220871-000")</f>
        <v>220871-000</v>
      </c>
      <c r="B15487" s="8" t="s">
        <v>14764</v>
      </c>
    </row>
    <row r="15488" spans="1:2" x14ac:dyDescent="0.3">
      <c r="A15488" s="9" t="str">
        <f>HYPERLINK("http://www.eatonpowersource.com/products/details/22102-000","22102-000")</f>
        <v>22102-000</v>
      </c>
      <c r="B15488" s="10" t="s">
        <v>14765</v>
      </c>
    </row>
    <row r="15489" spans="1:2" x14ac:dyDescent="0.3">
      <c r="A15489" s="7" t="str">
        <f>HYPERLINK("http://www.eatonpowersource.com/products/details/22134-000","22134-000")</f>
        <v>22134-000</v>
      </c>
      <c r="B15489" s="8" t="s">
        <v>14766</v>
      </c>
    </row>
    <row r="15490" spans="1:2" x14ac:dyDescent="0.3">
      <c r="A15490" s="9" t="str">
        <f>HYPERLINK("http://www.eatonpowersource.com/products/details/22189-000","22189-000")</f>
        <v>22189-000</v>
      </c>
      <c r="B15490" s="10" t="s">
        <v>14505</v>
      </c>
    </row>
    <row r="15491" spans="1:2" x14ac:dyDescent="0.3">
      <c r="A15491" s="7" t="str">
        <f>HYPERLINK("http://www.eatonpowersource.com/products/details/22230-001","22230-001")</f>
        <v>22230-001</v>
      </c>
      <c r="B15491" s="8" t="s">
        <v>14767</v>
      </c>
    </row>
    <row r="15492" spans="1:2" x14ac:dyDescent="0.3">
      <c r="A15492" s="9" t="str">
        <f>HYPERLINK("http://www.eatonpowersource.com/products/details/22230-002","22230-002")</f>
        <v>22230-002</v>
      </c>
      <c r="B15492" s="10" t="s">
        <v>14768</v>
      </c>
    </row>
    <row r="15493" spans="1:2" x14ac:dyDescent="0.3">
      <c r="A15493" s="7" t="str">
        <f>HYPERLINK("http://www.eatonpowersource.com/products/details/22230-004","22230-004")</f>
        <v>22230-004</v>
      </c>
      <c r="B15493" s="8" t="s">
        <v>14655</v>
      </c>
    </row>
    <row r="15494" spans="1:2" x14ac:dyDescent="0.3">
      <c r="A15494" s="9" t="str">
        <f>HYPERLINK("http://www.eatonpowersource.com/products/details/22230-006","22230-006")</f>
        <v>22230-006</v>
      </c>
      <c r="B15494" s="10" t="s">
        <v>14769</v>
      </c>
    </row>
    <row r="15495" spans="1:2" x14ac:dyDescent="0.3">
      <c r="A15495" s="7" t="str">
        <f>HYPERLINK("http://www.eatonpowersource.com/products/details/22252-000","22252-000")</f>
        <v>22252-000</v>
      </c>
      <c r="B15495" s="8" t="s">
        <v>14505</v>
      </c>
    </row>
    <row r="15496" spans="1:2" x14ac:dyDescent="0.3">
      <c r="A15496" s="9" t="str">
        <f>HYPERLINK("http://www.eatonpowersource.com/products/details/22294-001","22294-001")</f>
        <v>22294-001</v>
      </c>
      <c r="B15496" s="10" t="s">
        <v>14655</v>
      </c>
    </row>
    <row r="15497" spans="1:2" x14ac:dyDescent="0.3">
      <c r="A15497" s="7" t="str">
        <f>HYPERLINK("http://www.eatonpowersource.com/products/details/22712-000","22712-000")</f>
        <v>22712-000</v>
      </c>
      <c r="B15497" s="8" t="s">
        <v>14150</v>
      </c>
    </row>
    <row r="15498" spans="1:2" x14ac:dyDescent="0.3">
      <c r="A15498" s="9" t="str">
        <f>HYPERLINK("http://www.eatonpowersource.com/products/details/22800-006","22800-006")</f>
        <v>22800-006</v>
      </c>
      <c r="B15498" s="10" t="s">
        <v>13906</v>
      </c>
    </row>
    <row r="15499" spans="1:2" x14ac:dyDescent="0.3">
      <c r="A15499" s="7" t="str">
        <f>HYPERLINK("http://www.eatonpowersource.com/products/details/22800-007","22800-007")</f>
        <v>22800-007</v>
      </c>
      <c r="B15499" s="8" t="s">
        <v>14770</v>
      </c>
    </row>
    <row r="15500" spans="1:2" x14ac:dyDescent="0.3">
      <c r="A15500" s="9" t="str">
        <f>HYPERLINK("http://www.eatonpowersource.com/products/details/22801-001","22801-001")</f>
        <v>22801-001</v>
      </c>
      <c r="B15500" s="10" t="s">
        <v>14771</v>
      </c>
    </row>
    <row r="15501" spans="1:2" x14ac:dyDescent="0.3">
      <c r="A15501" s="7" t="str">
        <f>HYPERLINK("http://www.eatonpowersource.com/products/details/22801-002","22801-002")</f>
        <v>22801-002</v>
      </c>
      <c r="B15501" s="8" t="s">
        <v>14772</v>
      </c>
    </row>
    <row r="15502" spans="1:2" x14ac:dyDescent="0.3">
      <c r="A15502" s="9" t="str">
        <f>HYPERLINK("http://www.eatonpowersource.com/products/details/22801-003","22801-003")</f>
        <v>22801-003</v>
      </c>
      <c r="B15502" s="10" t="s">
        <v>14773</v>
      </c>
    </row>
    <row r="15503" spans="1:2" x14ac:dyDescent="0.3">
      <c r="A15503" s="7" t="str">
        <f>HYPERLINK("http://www.eatonpowersource.com/products/details/22801-006","22801-006")</f>
        <v>22801-006</v>
      </c>
      <c r="B15503" s="8" t="s">
        <v>14774</v>
      </c>
    </row>
    <row r="15504" spans="1:2" x14ac:dyDescent="0.3">
      <c r="A15504" s="9" t="str">
        <f>HYPERLINK("http://www.eatonpowersource.com/products/details/22801-008","22801-008")</f>
        <v>22801-008</v>
      </c>
      <c r="B15504" s="10" t="s">
        <v>14774</v>
      </c>
    </row>
    <row r="15505" spans="1:2" x14ac:dyDescent="0.3">
      <c r="A15505" s="7" t="str">
        <f>HYPERLINK("http://www.eatonpowersource.com/products/details/22801-009","22801-009")</f>
        <v>22801-009</v>
      </c>
      <c r="B15505" s="8" t="s">
        <v>14775</v>
      </c>
    </row>
    <row r="15506" spans="1:2" x14ac:dyDescent="0.3">
      <c r="A15506" s="9" t="str">
        <f>HYPERLINK("http://www.eatonpowersource.com/products/details/22801-010","22801-010")</f>
        <v>22801-010</v>
      </c>
      <c r="B15506" s="10" t="s">
        <v>14774</v>
      </c>
    </row>
    <row r="15507" spans="1:2" x14ac:dyDescent="0.3">
      <c r="A15507" s="7" t="str">
        <f>HYPERLINK("http://www.eatonpowersource.com/products/details/22801-012","22801-012")</f>
        <v>22801-012</v>
      </c>
      <c r="B15507" s="8" t="s">
        <v>14776</v>
      </c>
    </row>
    <row r="15508" spans="1:2" x14ac:dyDescent="0.3">
      <c r="A15508" s="9" t="str">
        <f>HYPERLINK("http://www.eatonpowersource.com/products/details/22808-000","22808-000")</f>
        <v>22808-000</v>
      </c>
      <c r="B15508" s="10" t="s">
        <v>14777</v>
      </c>
    </row>
    <row r="15509" spans="1:2" x14ac:dyDescent="0.3">
      <c r="A15509" s="7" t="str">
        <f>HYPERLINK("http://www.eatonpowersource.com/products/details/22892-000","22892-000")</f>
        <v>22892-000</v>
      </c>
      <c r="B15509" s="8" t="s">
        <v>14778</v>
      </c>
    </row>
    <row r="15510" spans="1:2" x14ac:dyDescent="0.3">
      <c r="A15510" s="9" t="str">
        <f>HYPERLINK("http://www.eatonpowersource.com/products/details/22893-000","22893-000")</f>
        <v>22893-000</v>
      </c>
      <c r="B15510" s="10" t="s">
        <v>14779</v>
      </c>
    </row>
    <row r="15511" spans="1:2" x14ac:dyDescent="0.3">
      <c r="A15511" s="7" t="str">
        <f>HYPERLINK("http://www.eatonpowersource.com/products/details/22894-007","22894-007")</f>
        <v>22894-007</v>
      </c>
      <c r="B15511" s="8" t="s">
        <v>14780</v>
      </c>
    </row>
    <row r="15512" spans="1:2" x14ac:dyDescent="0.3">
      <c r="A15512" s="9" t="str">
        <f>HYPERLINK("http://www.eatonpowersource.com/products/details/22894-008","22894-008")</f>
        <v>22894-008</v>
      </c>
      <c r="B15512" s="10" t="s">
        <v>14781</v>
      </c>
    </row>
    <row r="15513" spans="1:2" x14ac:dyDescent="0.3">
      <c r="A15513" s="7" t="str">
        <f>HYPERLINK("http://www.eatonpowersource.com/products/details/22894-026","22894-026")</f>
        <v>22894-026</v>
      </c>
      <c r="B15513" s="8" t="s">
        <v>14782</v>
      </c>
    </row>
    <row r="15514" spans="1:2" x14ac:dyDescent="0.3">
      <c r="A15514" s="9" t="str">
        <f>HYPERLINK("http://www.eatonpowersource.com/products/details/230079-000","230079-000")</f>
        <v>230079-000</v>
      </c>
      <c r="B15514" s="10" t="s">
        <v>14783</v>
      </c>
    </row>
    <row r="15515" spans="1:2" x14ac:dyDescent="0.3">
      <c r="A15515" s="7" t="str">
        <f>HYPERLINK("http://www.eatonpowersource.com/products/details/23016-005","23016-005")</f>
        <v>23016-005</v>
      </c>
      <c r="B15515" s="8" t="s">
        <v>14784</v>
      </c>
    </row>
    <row r="15516" spans="1:2" x14ac:dyDescent="0.3">
      <c r="A15516" s="9" t="str">
        <f>HYPERLINK("http://www.eatonpowersource.com/products/details/23017-004","23017-004")</f>
        <v>23017-004</v>
      </c>
      <c r="B15516" s="10" t="s">
        <v>14785</v>
      </c>
    </row>
    <row r="15517" spans="1:2" x14ac:dyDescent="0.3">
      <c r="A15517" s="7" t="str">
        <f>HYPERLINK("http://www.eatonpowersource.com/products/details/23017-005","23017-005")</f>
        <v>23017-005</v>
      </c>
      <c r="B15517" s="8" t="s">
        <v>14786</v>
      </c>
    </row>
    <row r="15518" spans="1:2" x14ac:dyDescent="0.3">
      <c r="A15518" s="9" t="str">
        <f>HYPERLINK("http://www.eatonpowersource.com/products/details/230302-000","230302-000")</f>
        <v>230302-000</v>
      </c>
      <c r="B15518" s="10" t="s">
        <v>14787</v>
      </c>
    </row>
    <row r="15519" spans="1:2" x14ac:dyDescent="0.3">
      <c r="A15519" s="7" t="str">
        <f>HYPERLINK("http://www.eatonpowersource.com/products/details/230303-000","230303-000")</f>
        <v>230303-000</v>
      </c>
      <c r="B15519" s="8" t="s">
        <v>14787</v>
      </c>
    </row>
    <row r="15520" spans="1:2" x14ac:dyDescent="0.3">
      <c r="A15520" s="9" t="str">
        <f>HYPERLINK("http://www.eatonpowersource.com/products/details/230304-000","230304-000")</f>
        <v>230304-000</v>
      </c>
      <c r="B15520" s="10" t="s">
        <v>14788</v>
      </c>
    </row>
    <row r="15521" spans="1:2" x14ac:dyDescent="0.3">
      <c r="A15521" s="7" t="str">
        <f>HYPERLINK("http://www.eatonpowersource.com/products/details/230305-000","230305-000")</f>
        <v>230305-000</v>
      </c>
      <c r="B15521" s="8" t="s">
        <v>14788</v>
      </c>
    </row>
    <row r="15522" spans="1:2" x14ac:dyDescent="0.3">
      <c r="A15522" s="9" t="str">
        <f>HYPERLINK("http://www.eatonpowersource.com/products/details/230307-000","230307-000")</f>
        <v>230307-000</v>
      </c>
      <c r="B15522" s="10" t="s">
        <v>14789</v>
      </c>
    </row>
    <row r="15523" spans="1:2" x14ac:dyDescent="0.3">
      <c r="A15523" s="7" t="str">
        <f>HYPERLINK("http://www.eatonpowersource.com/products/details/230313-000","230313-000")</f>
        <v>230313-000</v>
      </c>
      <c r="B15523" s="8" t="s">
        <v>9653</v>
      </c>
    </row>
    <row r="15524" spans="1:2" x14ac:dyDescent="0.3">
      <c r="A15524" s="9" t="str">
        <f>HYPERLINK("http://www.eatonpowersource.com/products/details/230400-000","230400-000")</f>
        <v>230400-000</v>
      </c>
      <c r="B15524" s="10" t="s">
        <v>14790</v>
      </c>
    </row>
    <row r="15525" spans="1:2" x14ac:dyDescent="0.3">
      <c r="A15525" s="7" t="str">
        <f>HYPERLINK("http://www.eatonpowersource.com/products/details/230415-000","230415-000")</f>
        <v>230415-000</v>
      </c>
      <c r="B15525" s="8" t="s">
        <v>9653</v>
      </c>
    </row>
    <row r="15526" spans="1:2" x14ac:dyDescent="0.3">
      <c r="A15526" s="9" t="str">
        <f>HYPERLINK("http://www.eatonpowersource.com/products/details/23047-000","23047-000")</f>
        <v>23047-000</v>
      </c>
      <c r="B15526" s="10" t="s">
        <v>14791</v>
      </c>
    </row>
    <row r="15527" spans="1:2" x14ac:dyDescent="0.3">
      <c r="A15527" s="7" t="str">
        <f>HYPERLINK("http://www.eatonpowersource.com/products/details/23074-000","23074-000")</f>
        <v>23074-000</v>
      </c>
      <c r="B15527" s="8" t="s">
        <v>14792</v>
      </c>
    </row>
    <row r="15528" spans="1:2" x14ac:dyDescent="0.3">
      <c r="A15528" s="9" t="str">
        <f>HYPERLINK("http://www.eatonpowersource.com/products/details/23079-000","23079-000")</f>
        <v>23079-000</v>
      </c>
      <c r="B15528" s="10" t="s">
        <v>14793</v>
      </c>
    </row>
    <row r="15529" spans="1:2" x14ac:dyDescent="0.3">
      <c r="A15529" s="7" t="str">
        <f>HYPERLINK("http://www.eatonpowersource.com/products/details/23085-000","23085-000")</f>
        <v>23085-000</v>
      </c>
      <c r="B15529" s="8" t="s">
        <v>14794</v>
      </c>
    </row>
    <row r="15530" spans="1:2" x14ac:dyDescent="0.3">
      <c r="A15530" s="9" t="str">
        <f>HYPERLINK("http://www.eatonpowersource.com/products/details/23092-000","23092-000")</f>
        <v>23092-000</v>
      </c>
      <c r="B15530" s="10" t="s">
        <v>14795</v>
      </c>
    </row>
    <row r="15531" spans="1:2" x14ac:dyDescent="0.3">
      <c r="A15531" s="7" t="str">
        <f>HYPERLINK("http://www.eatonpowersource.com/products/details/23170-001","23170-001")</f>
        <v>23170-001</v>
      </c>
      <c r="B15531" s="8" t="s">
        <v>14739</v>
      </c>
    </row>
    <row r="15532" spans="1:2" x14ac:dyDescent="0.3">
      <c r="A15532" s="9" t="str">
        <f>HYPERLINK("http://www.eatonpowersource.com/products/details/23170-002","23170-002")</f>
        <v>23170-002</v>
      </c>
      <c r="B15532" s="10" t="s">
        <v>14796</v>
      </c>
    </row>
    <row r="15533" spans="1:2" x14ac:dyDescent="0.3">
      <c r="A15533" s="7" t="str">
        <f>HYPERLINK("http://www.eatonpowersource.com/products/details/23170-004","23170-004")</f>
        <v>23170-004</v>
      </c>
      <c r="B15533" s="8" t="s">
        <v>14797</v>
      </c>
    </row>
    <row r="15534" spans="1:2" x14ac:dyDescent="0.3">
      <c r="A15534" s="9" t="str">
        <f>HYPERLINK("http://www.eatonpowersource.com/products/details/23171-001","23171-001")</f>
        <v>23171-001</v>
      </c>
      <c r="B15534" s="10" t="s">
        <v>14798</v>
      </c>
    </row>
    <row r="15535" spans="1:2" x14ac:dyDescent="0.3">
      <c r="A15535" s="7" t="str">
        <f>HYPERLINK("http://www.eatonpowersource.com/products/details/23171-002","23171-002")</f>
        <v>23171-002</v>
      </c>
      <c r="B15535" s="8" t="s">
        <v>14799</v>
      </c>
    </row>
    <row r="15536" spans="1:2" x14ac:dyDescent="0.3">
      <c r="A15536" s="9" t="str">
        <f>HYPERLINK("http://www.eatonpowersource.com/products/details/23171-003","23171-003")</f>
        <v>23171-003</v>
      </c>
      <c r="B15536" s="10" t="s">
        <v>14800</v>
      </c>
    </row>
    <row r="15537" spans="1:2" x14ac:dyDescent="0.3">
      <c r="A15537" s="7" t="str">
        <f>HYPERLINK("http://www.eatonpowersource.com/products/details/23171-005","23171-005")</f>
        <v>23171-005</v>
      </c>
      <c r="B15537" s="8" t="s">
        <v>14801</v>
      </c>
    </row>
    <row r="15538" spans="1:2" x14ac:dyDescent="0.3">
      <c r="A15538" s="9" t="str">
        <f>HYPERLINK("http://www.eatonpowersource.com/products/details/23284-001","23284-001")</f>
        <v>23284-001</v>
      </c>
      <c r="B15538" s="10" t="s">
        <v>14802</v>
      </c>
    </row>
    <row r="15539" spans="1:2" x14ac:dyDescent="0.3">
      <c r="A15539" s="7" t="str">
        <f>HYPERLINK("http://www.eatonpowersource.com/products/details/23310-001","23310-001")</f>
        <v>23310-001</v>
      </c>
      <c r="B15539" s="8" t="s">
        <v>14803</v>
      </c>
    </row>
    <row r="15540" spans="1:2" x14ac:dyDescent="0.3">
      <c r="A15540" s="9" t="str">
        <f>HYPERLINK("http://www.eatonpowersource.com/products/details/23310-002","23310-002")</f>
        <v>23310-002</v>
      </c>
      <c r="B15540" s="10" t="s">
        <v>14804</v>
      </c>
    </row>
    <row r="15541" spans="1:2" x14ac:dyDescent="0.3">
      <c r="A15541" s="7" t="str">
        <f>HYPERLINK("http://www.eatonpowersource.com/products/details/23310-003","23310-003")</f>
        <v>23310-003</v>
      </c>
      <c r="B15541" s="8" t="s">
        <v>14805</v>
      </c>
    </row>
    <row r="15542" spans="1:2" x14ac:dyDescent="0.3">
      <c r="A15542" s="9" t="str">
        <f>HYPERLINK("http://www.eatonpowersource.com/products/details/23310-009","23310-009")</f>
        <v>23310-009</v>
      </c>
      <c r="B15542" s="10" t="s">
        <v>14805</v>
      </c>
    </row>
    <row r="15543" spans="1:2" x14ac:dyDescent="0.3">
      <c r="A15543" s="7" t="str">
        <f>HYPERLINK("http://www.eatonpowersource.com/products/details/23310-010","23310-010")</f>
        <v>23310-010</v>
      </c>
      <c r="B15543" s="8" t="s">
        <v>14805</v>
      </c>
    </row>
    <row r="15544" spans="1:2" x14ac:dyDescent="0.3">
      <c r="A15544" s="9" t="str">
        <f>HYPERLINK("http://www.eatonpowersource.com/products/details/23310-024","23310-024")</f>
        <v>23310-024</v>
      </c>
      <c r="B15544" s="10" t="s">
        <v>14805</v>
      </c>
    </row>
    <row r="15545" spans="1:2" x14ac:dyDescent="0.3">
      <c r="A15545" s="7" t="str">
        <f>HYPERLINK("http://www.eatonpowersource.com/products/details/23382-006","23382-006")</f>
        <v>23382-006</v>
      </c>
      <c r="B15545" s="8" t="s">
        <v>14806</v>
      </c>
    </row>
    <row r="15546" spans="1:2" x14ac:dyDescent="0.3">
      <c r="A15546" s="9" t="str">
        <f>HYPERLINK("http://www.eatonpowersource.com/products/details/23396-003","23396-003")</f>
        <v>23396-003</v>
      </c>
      <c r="B15546" s="10" t="s">
        <v>14807</v>
      </c>
    </row>
    <row r="15547" spans="1:2" x14ac:dyDescent="0.3">
      <c r="A15547" s="7" t="str">
        <f>HYPERLINK("http://www.eatonpowersource.com/products/details/23396-005","23396-005")</f>
        <v>23396-005</v>
      </c>
      <c r="B15547" s="8" t="s">
        <v>14808</v>
      </c>
    </row>
    <row r="15548" spans="1:2" x14ac:dyDescent="0.3">
      <c r="A15548" s="9" t="str">
        <f>HYPERLINK("http://www.eatonpowersource.com/products/details/23397-005","23397-005")</f>
        <v>23397-005</v>
      </c>
      <c r="B15548" s="10" t="s">
        <v>14809</v>
      </c>
    </row>
    <row r="15549" spans="1:2" x14ac:dyDescent="0.3">
      <c r="A15549" s="7" t="str">
        <f>HYPERLINK("http://www.eatonpowersource.com/products/details/23397-007","23397-007")</f>
        <v>23397-007</v>
      </c>
      <c r="B15549" s="8" t="s">
        <v>14810</v>
      </c>
    </row>
    <row r="15550" spans="1:2" x14ac:dyDescent="0.3">
      <c r="A15550" s="9" t="str">
        <f>HYPERLINK("http://www.eatonpowersource.com/products/details/23440jn-005","23440JN-005")</f>
        <v>23440JN-005</v>
      </c>
      <c r="B15550" s="10" t="s">
        <v>14771</v>
      </c>
    </row>
    <row r="15551" spans="1:2" x14ac:dyDescent="0.3">
      <c r="A15551" s="7" t="str">
        <f>HYPERLINK("http://www.eatonpowersource.com/products/details/23587-000","23587-000")</f>
        <v>23587-000</v>
      </c>
      <c r="B15551" s="8" t="s">
        <v>14811</v>
      </c>
    </row>
    <row r="15552" spans="1:2" x14ac:dyDescent="0.3">
      <c r="A15552" s="9" t="str">
        <f>HYPERLINK("http://www.eatonpowersource.com/products/details/23986-001","23986-001")</f>
        <v>23986-001</v>
      </c>
      <c r="B15552" s="10" t="s">
        <v>14812</v>
      </c>
    </row>
    <row r="15553" spans="1:2" x14ac:dyDescent="0.3">
      <c r="A15553" s="7" t="str">
        <f>HYPERLINK("http://www.eatonpowersource.com/products/details/23986-003","23986-003")</f>
        <v>23986-003</v>
      </c>
      <c r="B15553" s="8" t="s">
        <v>14812</v>
      </c>
    </row>
    <row r="15554" spans="1:2" x14ac:dyDescent="0.3">
      <c r="A15554" s="9" t="str">
        <f>HYPERLINK("http://www.eatonpowersource.com/products/details/24129-000","24129-000")</f>
        <v>24129-000</v>
      </c>
      <c r="B15554" s="10" t="s">
        <v>14813</v>
      </c>
    </row>
    <row r="15555" spans="1:2" x14ac:dyDescent="0.3">
      <c r="A15555" s="7" t="str">
        <f>HYPERLINK("http://www.eatonpowersource.com/products/details/24200-600","24200-600")</f>
        <v>24200-600</v>
      </c>
      <c r="B15555" s="8" t="s">
        <v>14814</v>
      </c>
    </row>
    <row r="15556" spans="1:2" x14ac:dyDescent="0.3">
      <c r="A15556" s="9" t="str">
        <f>HYPERLINK("http://www.eatonpowersource.com/products/details/24200-902","24200-902")</f>
        <v>24200-902</v>
      </c>
      <c r="B15556" s="10" t="s">
        <v>9798</v>
      </c>
    </row>
    <row r="15557" spans="1:2" x14ac:dyDescent="0.3">
      <c r="A15557" s="7" t="str">
        <f>HYPERLINK("http://www.eatonpowersource.com/products/details/24200-903","24200-903")</f>
        <v>24200-903</v>
      </c>
      <c r="B15557" s="8" t="s">
        <v>9798</v>
      </c>
    </row>
    <row r="15558" spans="1:2" x14ac:dyDescent="0.3">
      <c r="A15558" s="9" t="str">
        <f>HYPERLINK("http://www.eatonpowersource.com/products/details/24235-000","24235-000")</f>
        <v>24235-000</v>
      </c>
      <c r="B15558" s="10" t="s">
        <v>14815</v>
      </c>
    </row>
    <row r="15559" spans="1:2" x14ac:dyDescent="0.3">
      <c r="A15559" s="7" t="str">
        <f>HYPERLINK("http://www.eatonpowersource.com/products/details/24300-660","24300-660")</f>
        <v>24300-660</v>
      </c>
      <c r="B15559" s="8" t="s">
        <v>10117</v>
      </c>
    </row>
    <row r="15560" spans="1:2" x14ac:dyDescent="0.3">
      <c r="A15560" s="9" t="str">
        <f>HYPERLINK("http://www.eatonpowersource.com/products/details/24300-902","24300-902")</f>
        <v>24300-902</v>
      </c>
      <c r="B15560" s="10" t="s">
        <v>14703</v>
      </c>
    </row>
    <row r="15561" spans="1:2" x14ac:dyDescent="0.3">
      <c r="A15561" s="7" t="str">
        <f>HYPERLINK("http://www.eatonpowersource.com/products/details/24330-911","24330-911")</f>
        <v>24330-911</v>
      </c>
      <c r="B15561" s="8" t="s">
        <v>9798</v>
      </c>
    </row>
    <row r="15562" spans="1:2" x14ac:dyDescent="0.3">
      <c r="A15562" s="9" t="str">
        <f>HYPERLINK("http://www.eatonpowersource.com/products/details/24380-962","24380-962")</f>
        <v>24380-962</v>
      </c>
      <c r="B15562" s="10" t="s">
        <v>9798</v>
      </c>
    </row>
    <row r="15563" spans="1:2" x14ac:dyDescent="0.3">
      <c r="A15563" s="7" t="str">
        <f>HYPERLINK("http://www.eatonpowersource.com/products/details/24490-000","24490-000")</f>
        <v>24490-000</v>
      </c>
      <c r="B15563" s="8" t="s">
        <v>14816</v>
      </c>
    </row>
    <row r="15564" spans="1:2" x14ac:dyDescent="0.3">
      <c r="A15564" s="9" t="str">
        <f>HYPERLINK("http://www.eatonpowersource.com/products/details/24500-619","24500-619")</f>
        <v>24500-619</v>
      </c>
      <c r="B15564" s="10" t="s">
        <v>14817</v>
      </c>
    </row>
    <row r="15565" spans="1:2" x14ac:dyDescent="0.3">
      <c r="A15565" s="7" t="str">
        <f>HYPERLINK("http://www.eatonpowersource.com/products/details/24500-629","24500-629")</f>
        <v>24500-629</v>
      </c>
      <c r="B15565" s="8" t="s">
        <v>9648</v>
      </c>
    </row>
    <row r="15566" spans="1:2" x14ac:dyDescent="0.3">
      <c r="A15566" s="9" t="str">
        <f>HYPERLINK("http://www.eatonpowersource.com/products/details/24737-000","24737-000")</f>
        <v>24737-000</v>
      </c>
      <c r="B15566" s="10" t="s">
        <v>14778</v>
      </c>
    </row>
    <row r="15567" spans="1:2" x14ac:dyDescent="0.3">
      <c r="A15567" s="7" t="str">
        <f>HYPERLINK("http://www.eatonpowersource.com/products/details/250001-011","250001-011")</f>
        <v>250001-011</v>
      </c>
      <c r="B15567" s="8" t="s">
        <v>9968</v>
      </c>
    </row>
    <row r="15568" spans="1:2" x14ac:dyDescent="0.3">
      <c r="A15568" s="9" t="str">
        <f>HYPERLINK("http://www.eatonpowersource.com/products/details/250001-031","250001-031")</f>
        <v>250001-031</v>
      </c>
      <c r="B15568" s="10" t="s">
        <v>14818</v>
      </c>
    </row>
    <row r="15569" spans="1:2" x14ac:dyDescent="0.3">
      <c r="A15569" s="7" t="str">
        <f>HYPERLINK("http://www.eatonpowersource.com/products/details/250001-036","250001-036")</f>
        <v>250001-036</v>
      </c>
      <c r="B15569" s="8" t="s">
        <v>14819</v>
      </c>
    </row>
    <row r="15570" spans="1:2" x14ac:dyDescent="0.3">
      <c r="A15570" s="9" t="str">
        <f>HYPERLINK("http://www.eatonpowersource.com/products/details/250001-040","250001-040")</f>
        <v>250001-040</v>
      </c>
      <c r="B15570" s="10" t="s">
        <v>14820</v>
      </c>
    </row>
    <row r="15571" spans="1:2" x14ac:dyDescent="0.3">
      <c r="A15571" s="7" t="str">
        <f>HYPERLINK("http://www.eatonpowersource.com/products/details/250001-046","250001-046")</f>
        <v>250001-046</v>
      </c>
      <c r="B15571" s="8" t="s">
        <v>14821</v>
      </c>
    </row>
    <row r="15572" spans="1:2" x14ac:dyDescent="0.3">
      <c r="A15572" s="9" t="str">
        <f>HYPERLINK("http://www.eatonpowersource.com/products/details/250001-163","250001-163")</f>
        <v>250001-163</v>
      </c>
      <c r="B15572" s="10" t="s">
        <v>14822</v>
      </c>
    </row>
    <row r="15573" spans="1:2" x14ac:dyDescent="0.3">
      <c r="A15573" s="7" t="str">
        <f>HYPERLINK("http://www.eatonpowersource.com/products/details/250002-046","250002-046")</f>
        <v>250002-046</v>
      </c>
      <c r="B15573" s="8" t="s">
        <v>14823</v>
      </c>
    </row>
    <row r="15574" spans="1:2" x14ac:dyDescent="0.3">
      <c r="A15574" s="9" t="str">
        <f>HYPERLINK("http://www.eatonpowersource.com/products/details/250003-904","250003-904")</f>
        <v>250003-904</v>
      </c>
      <c r="B15574" s="10" t="s">
        <v>14281</v>
      </c>
    </row>
    <row r="15575" spans="1:2" x14ac:dyDescent="0.3">
      <c r="A15575" s="7" t="str">
        <f>HYPERLINK("http://www.eatonpowersource.com/products/details/25083-004","25083-004")</f>
        <v>25083-004</v>
      </c>
      <c r="B15575" s="8" t="s">
        <v>14824</v>
      </c>
    </row>
    <row r="15576" spans="1:2" x14ac:dyDescent="0.3">
      <c r="A15576" s="9" t="str">
        <f>HYPERLINK("http://www.eatonpowersource.com/products/details/25090-004","25090-004")</f>
        <v>25090-004</v>
      </c>
      <c r="B15576" s="10" t="s">
        <v>14825</v>
      </c>
    </row>
    <row r="15577" spans="1:2" x14ac:dyDescent="0.3">
      <c r="A15577" s="7" t="str">
        <f>HYPERLINK("http://www.eatonpowersource.com/products/details/25090-006","25090-006")</f>
        <v>25090-006</v>
      </c>
      <c r="B15577" s="8" t="s">
        <v>14826</v>
      </c>
    </row>
    <row r="15578" spans="1:2" x14ac:dyDescent="0.3">
      <c r="A15578" s="9" t="str">
        <f>HYPERLINK("http://www.eatonpowersource.com/products/details/25090-008","25090-008")</f>
        <v>25090-008</v>
      </c>
      <c r="B15578" s="10" t="s">
        <v>14827</v>
      </c>
    </row>
    <row r="15579" spans="1:2" x14ac:dyDescent="0.3">
      <c r="A15579" s="7" t="str">
        <f>HYPERLINK("http://www.eatonpowersource.com/products/details/25090-012","25090-012")</f>
        <v>25090-012</v>
      </c>
      <c r="B15579" s="8" t="s">
        <v>14828</v>
      </c>
    </row>
    <row r="15580" spans="1:2" x14ac:dyDescent="0.3">
      <c r="A15580" s="9" t="str">
        <f>HYPERLINK("http://www.eatonpowersource.com/products/details/25300-901","25300-901")</f>
        <v>25300-901</v>
      </c>
      <c r="B15580" s="10" t="s">
        <v>14703</v>
      </c>
    </row>
    <row r="15581" spans="1:2" x14ac:dyDescent="0.3">
      <c r="A15581" s="7" t="str">
        <f>HYPERLINK("http://www.eatonpowersource.com/products/details/25301-255","25301-255")</f>
        <v>25301-255</v>
      </c>
      <c r="B15581" s="8" t="s">
        <v>14829</v>
      </c>
    </row>
    <row r="15582" spans="1:2" x14ac:dyDescent="0.3">
      <c r="A15582" s="9" t="str">
        <f>HYPERLINK("http://www.eatonpowersource.com/products/details/25380-922","25380-922")</f>
        <v>25380-922</v>
      </c>
      <c r="B15582" s="10" t="s">
        <v>14703</v>
      </c>
    </row>
    <row r="15583" spans="1:2" x14ac:dyDescent="0.3">
      <c r="A15583" s="7" t="str">
        <f>HYPERLINK("http://www.eatonpowersource.com/products/details/25471-000","25471-000")</f>
        <v>25471-000</v>
      </c>
      <c r="B15583" s="8" t="s">
        <v>14830</v>
      </c>
    </row>
    <row r="15584" spans="1:2" x14ac:dyDescent="0.3">
      <c r="A15584" s="9" t="str">
        <f>HYPERLINK("http://www.eatonpowersource.com/products/details/25500-901","25500-901")</f>
        <v>25500-901</v>
      </c>
      <c r="B15584" s="10" t="s">
        <v>14703</v>
      </c>
    </row>
    <row r="15585" spans="1:2" x14ac:dyDescent="0.3">
      <c r="A15585" s="7" t="str">
        <f>HYPERLINK("http://www.eatonpowersource.com/products/details/25500-908","25500-908")</f>
        <v>25500-908</v>
      </c>
      <c r="B15585" s="8" t="s">
        <v>14703</v>
      </c>
    </row>
    <row r="15586" spans="1:2" x14ac:dyDescent="0.3">
      <c r="A15586" s="9" t="str">
        <f>HYPERLINK("http://www.eatonpowersource.com/products/details/25580-918","25580-918")</f>
        <v>25580-918</v>
      </c>
      <c r="B15586" s="10" t="s">
        <v>14831</v>
      </c>
    </row>
    <row r="15587" spans="1:2" x14ac:dyDescent="0.3">
      <c r="A15587" s="7" t="str">
        <f>HYPERLINK("http://www.eatonpowersource.com/products/details/26000-03","26000-03")</f>
        <v>26000-03</v>
      </c>
      <c r="B15587" s="8" t="s">
        <v>14832</v>
      </c>
    </row>
    <row r="15588" spans="1:2" x14ac:dyDescent="0.3">
      <c r="A15588" s="9" t="str">
        <f>HYPERLINK("http://www.eatonpowersource.com/products/details/26000-500","26000-500")</f>
        <v>26000-500</v>
      </c>
      <c r="B15588" s="10" t="s">
        <v>14833</v>
      </c>
    </row>
    <row r="15589" spans="1:2" x14ac:dyDescent="0.3">
      <c r="A15589" s="7" t="str">
        <f>HYPERLINK("http://www.eatonpowersource.com/products/details/26000-554","26000-554")</f>
        <v>26000-554</v>
      </c>
      <c r="B15589" s="8" t="s">
        <v>9960</v>
      </c>
    </row>
    <row r="15590" spans="1:2" x14ac:dyDescent="0.3">
      <c r="A15590" s="9" t="str">
        <f>HYPERLINK("http://www.eatonpowersource.com/products/details/26004-101","26004-101")</f>
        <v>26004-101</v>
      </c>
      <c r="B15590" s="10" t="s">
        <v>14834</v>
      </c>
    </row>
    <row r="15591" spans="1:2" x14ac:dyDescent="0.3">
      <c r="A15591" s="7" t="str">
        <f>HYPERLINK("http://www.eatonpowersource.com/products/details/26006-101","26006-101")</f>
        <v>26006-101</v>
      </c>
      <c r="B15591" s="8" t="s">
        <v>14834</v>
      </c>
    </row>
    <row r="15592" spans="1:2" x14ac:dyDescent="0.3">
      <c r="A15592" s="9" t="str">
        <f>HYPERLINK("http://www.eatonpowersource.com/products/details/26013-101","26013-101")</f>
        <v>26013-101</v>
      </c>
      <c r="B15592" s="10" t="s">
        <v>14834</v>
      </c>
    </row>
    <row r="15593" spans="1:2" x14ac:dyDescent="0.3">
      <c r="A15593" s="7" t="str">
        <f>HYPERLINK("http://www.eatonpowersource.com/products/details/26013-104","26013-104")</f>
        <v>26013-104</v>
      </c>
      <c r="B15593" s="8" t="s">
        <v>14834</v>
      </c>
    </row>
    <row r="15594" spans="1:2" x14ac:dyDescent="0.3">
      <c r="A15594" s="9" t="str">
        <f>HYPERLINK("http://www.eatonpowersource.com/products/details/26700-900","26700-900")</f>
        <v>26700-900</v>
      </c>
      <c r="B15594" s="10" t="s">
        <v>14835</v>
      </c>
    </row>
    <row r="15595" spans="1:2" x14ac:dyDescent="0.3">
      <c r="A15595" s="7" t="str">
        <f>HYPERLINK("http://www.eatonpowersource.com/products/details/267512-019","267512-019")</f>
        <v>267512-019</v>
      </c>
      <c r="B15595" s="8" t="s">
        <v>14836</v>
      </c>
    </row>
    <row r="15596" spans="1:2" x14ac:dyDescent="0.3">
      <c r="A15596" s="9" t="str">
        <f>HYPERLINK("http://www.eatonpowersource.com/products/details/268009-033","268009-033")</f>
        <v>268009-033</v>
      </c>
      <c r="B15596" s="10" t="s">
        <v>14837</v>
      </c>
    </row>
    <row r="15597" spans="1:2" x14ac:dyDescent="0.3">
      <c r="A15597" s="7" t="str">
        <f>HYPERLINK("http://www.eatonpowersource.com/products/details/285020-060","285020-060")</f>
        <v>285020-060</v>
      </c>
      <c r="B15597" s="8" t="s">
        <v>14838</v>
      </c>
    </row>
    <row r="15598" spans="1:2" x14ac:dyDescent="0.3">
      <c r="A15598" s="9" t="str">
        <f>HYPERLINK("http://www.eatonpowersource.com/products/details/29052-910","29052-910")</f>
        <v>29052-910</v>
      </c>
      <c r="B15598" s="10" t="s">
        <v>14703</v>
      </c>
    </row>
    <row r="15599" spans="1:2" x14ac:dyDescent="0.3">
      <c r="A15599" s="7" t="str">
        <f>HYPERLINK("http://www.eatonpowersource.com/products/details/32060-ia","32060-IA")</f>
        <v>32060-IA</v>
      </c>
      <c r="B15599" s="8" t="s">
        <v>14839</v>
      </c>
    </row>
    <row r="15600" spans="1:2" x14ac:dyDescent="0.3">
      <c r="A15600" s="9" t="str">
        <f>HYPERLINK("http://www.eatonpowersource.com/products/details/32060-wa","32060-WA")</f>
        <v>32060-WA</v>
      </c>
      <c r="B15600" s="10" t="s">
        <v>14840</v>
      </c>
    </row>
    <row r="15601" spans="1:2" x14ac:dyDescent="0.3">
      <c r="A15601" s="7" t="str">
        <f>HYPERLINK("http://www.eatonpowersource.com/products/details/32060-xa","32060-XA")</f>
        <v>32060-XA</v>
      </c>
      <c r="B15601" s="8" t="s">
        <v>14841</v>
      </c>
    </row>
    <row r="15602" spans="1:2" x14ac:dyDescent="0.3">
      <c r="A15602" s="9" t="str">
        <f>HYPERLINK("http://www.eatonpowersource.com/products/details/32060-za","32060-ZA")</f>
        <v>32060-ZA</v>
      </c>
      <c r="B15602" s="10" t="s">
        <v>14842</v>
      </c>
    </row>
    <row r="15603" spans="1:2" x14ac:dyDescent="0.3">
      <c r="A15603" s="7" t="str">
        <f>HYPERLINK("http://www.eatonpowersource.com/products/details/32203-aah","32203-AAH")</f>
        <v>32203-AAH</v>
      </c>
      <c r="B15603" s="8" t="s">
        <v>14843</v>
      </c>
    </row>
    <row r="15604" spans="1:2" x14ac:dyDescent="0.3">
      <c r="A15604" s="9" t="str">
        <f>HYPERLINK("http://www.eatonpowersource.com/products/details/39011-915","39011-915")</f>
        <v>39011-915</v>
      </c>
      <c r="B15604" s="10" t="s">
        <v>2797</v>
      </c>
    </row>
    <row r="15605" spans="1:2" x14ac:dyDescent="0.3">
      <c r="A15605" s="7" t="str">
        <f>HYPERLINK("http://www.eatonpowersource.com/products/details/39055-906","39055-906")</f>
        <v>39055-906</v>
      </c>
      <c r="B15605" s="8" t="s">
        <v>9798</v>
      </c>
    </row>
    <row r="15606" spans="1:2" x14ac:dyDescent="0.3">
      <c r="A15606" s="9" t="str">
        <f>HYPERLINK("http://www.eatonpowersource.com/products/details/39062-900","39062-900")</f>
        <v>39062-900</v>
      </c>
      <c r="B15606" s="10" t="s">
        <v>9798</v>
      </c>
    </row>
    <row r="15607" spans="1:2" x14ac:dyDescent="0.3">
      <c r="A15607" s="7" t="str">
        <f>HYPERLINK("http://www.eatonpowersource.com/products/details/40520-000","40520-000")</f>
        <v>40520-000</v>
      </c>
      <c r="B15607" s="8" t="s">
        <v>14844</v>
      </c>
    </row>
    <row r="15608" spans="1:2" x14ac:dyDescent="0.3">
      <c r="A15608" s="9" t="str">
        <f>HYPERLINK("http://www.eatonpowersource.com/products/details/40547-000","40547-000")</f>
        <v>40547-000</v>
      </c>
      <c r="B15608" s="10" t="s">
        <v>14845</v>
      </c>
    </row>
    <row r="15609" spans="1:2" x14ac:dyDescent="0.3">
      <c r="A15609" s="7" t="str">
        <f>HYPERLINK("http://www.eatonpowersource.com/products/details/45-000","45-000")</f>
        <v>45-000</v>
      </c>
      <c r="B15609" s="8" t="s">
        <v>14846</v>
      </c>
    </row>
    <row r="15610" spans="1:2" x14ac:dyDescent="0.3">
      <c r="A15610" s="9" t="str">
        <f>HYPERLINK("http://www.eatonpowersource.com/products/details/4992211-002","4992211-002")</f>
        <v>4992211-002</v>
      </c>
      <c r="B15610" s="10" t="s">
        <v>14847</v>
      </c>
    </row>
    <row r="15611" spans="1:2" x14ac:dyDescent="0.3">
      <c r="A15611" s="7" t="str">
        <f>HYPERLINK("http://www.eatonpowersource.com/products/details/4992211-004","4992211-004")</f>
        <v>4992211-004</v>
      </c>
      <c r="B15611" s="8" t="s">
        <v>14848</v>
      </c>
    </row>
    <row r="15612" spans="1:2" x14ac:dyDescent="0.3">
      <c r="A15612" s="9" t="str">
        <f>HYPERLINK("http://www.eatonpowersource.com/products/details/4992211-005","4992211-005")</f>
        <v>4992211-005</v>
      </c>
      <c r="B15612" s="10" t="s">
        <v>14848</v>
      </c>
    </row>
    <row r="15613" spans="1:2" x14ac:dyDescent="0.3">
      <c r="A15613" s="7" t="str">
        <f>HYPERLINK("http://www.eatonpowersource.com/products/details/4992211-010","4992211-010")</f>
        <v>4992211-010</v>
      </c>
      <c r="B15613" s="8" t="s">
        <v>14847</v>
      </c>
    </row>
    <row r="15614" spans="1:2" x14ac:dyDescent="0.3">
      <c r="A15614" s="9" t="str">
        <f>HYPERLINK("http://www.eatonpowersource.com/products/details/4992211-011","4992211-011")</f>
        <v>4992211-011</v>
      </c>
      <c r="B15614" s="10" t="s">
        <v>14848</v>
      </c>
    </row>
    <row r="15615" spans="1:2" x14ac:dyDescent="0.3">
      <c r="A15615" s="7" t="str">
        <f>HYPERLINK("http://www.eatonpowersource.com/products/details/4992533-400","4992533-400")</f>
        <v>4992533-400</v>
      </c>
      <c r="B15615" s="8" t="s">
        <v>14849</v>
      </c>
    </row>
    <row r="15616" spans="1:2" x14ac:dyDescent="0.3">
      <c r="A15616" s="9" t="str">
        <f>HYPERLINK("http://www.eatonpowersource.com/products/details/4992655-001","4992655-001")</f>
        <v>4992655-001</v>
      </c>
      <c r="B15616" s="10" t="s">
        <v>14850</v>
      </c>
    </row>
    <row r="15617" spans="1:2" x14ac:dyDescent="0.3">
      <c r="A15617" s="7" t="str">
        <f>HYPERLINK("http://www.eatonpowersource.com/products/details/4992696-001","4992696-001")</f>
        <v>4992696-001</v>
      </c>
      <c r="B15617" s="8" t="s">
        <v>14851</v>
      </c>
    </row>
    <row r="15618" spans="1:2" x14ac:dyDescent="0.3">
      <c r="A15618" s="9" t="str">
        <f>HYPERLINK("http://www.eatonpowersource.com/products/details/4993055-001","4993055-001")</f>
        <v>4993055-001</v>
      </c>
      <c r="B15618" s="10" t="s">
        <v>14852</v>
      </c>
    </row>
    <row r="15619" spans="1:2" x14ac:dyDescent="0.3">
      <c r="A15619" s="7" t="str">
        <f>HYPERLINK("http://www.eatonpowersource.com/products/details/4993055-005","4993055-005")</f>
        <v>4993055-005</v>
      </c>
      <c r="B15619" s="8" t="s">
        <v>14853</v>
      </c>
    </row>
    <row r="15620" spans="1:2" x14ac:dyDescent="0.3">
      <c r="A15620" s="9" t="str">
        <f>HYPERLINK("http://www.eatonpowersource.com/products/details/4993055-026","4993055-026")</f>
        <v>4993055-026</v>
      </c>
      <c r="B15620" s="10" t="s">
        <v>14854</v>
      </c>
    </row>
    <row r="15621" spans="1:2" x14ac:dyDescent="0.3">
      <c r="A15621" s="7" t="str">
        <f>HYPERLINK("http://www.eatonpowersource.com/products/details/4993057-024","4993057-024")</f>
        <v>4993057-024</v>
      </c>
      <c r="B15621" s="8" t="s">
        <v>14855</v>
      </c>
    </row>
    <row r="15622" spans="1:2" x14ac:dyDescent="0.3">
      <c r="A15622" s="9" t="str">
        <f>HYPERLINK("http://www.eatonpowersource.com/products/details/4993131-001","4993131-001")</f>
        <v>4993131-001</v>
      </c>
      <c r="B15622" s="10" t="s">
        <v>14856</v>
      </c>
    </row>
    <row r="15623" spans="1:2" x14ac:dyDescent="0.3">
      <c r="A15623" s="7" t="str">
        <f>HYPERLINK("http://www.eatonpowersource.com/products/details/4993209-002","4993209-002")</f>
        <v>4993209-002</v>
      </c>
      <c r="B15623" s="8" t="s">
        <v>14857</v>
      </c>
    </row>
    <row r="15624" spans="1:2" x14ac:dyDescent="0.3">
      <c r="A15624" s="9" t="str">
        <f>HYPERLINK("http://www.eatonpowersource.com/products/details/4993337-002","4993337-002")</f>
        <v>4993337-002</v>
      </c>
      <c r="B15624" s="10" t="s">
        <v>14858</v>
      </c>
    </row>
    <row r="15625" spans="1:2" x14ac:dyDescent="0.3">
      <c r="A15625" s="7" t="str">
        <f>HYPERLINK("http://www.eatonpowersource.com/products/details/4993411-050","4993411-050")</f>
        <v>4993411-050</v>
      </c>
      <c r="B15625" s="8" t="s">
        <v>14859</v>
      </c>
    </row>
    <row r="15626" spans="1:2" x14ac:dyDescent="0.3">
      <c r="A15626" s="9" t="str">
        <f>HYPERLINK("http://www.eatonpowersource.com/products/details/4993463-001","4993463-001")</f>
        <v>4993463-001</v>
      </c>
      <c r="B15626" s="10" t="s">
        <v>14860</v>
      </c>
    </row>
    <row r="15627" spans="1:2" x14ac:dyDescent="0.3">
      <c r="A15627" s="7" t="str">
        <f>HYPERLINK("http://www.eatonpowersource.com/products/details/4993556-001","4993556-001")</f>
        <v>4993556-001</v>
      </c>
      <c r="B15627" s="8" t="s">
        <v>14861</v>
      </c>
    </row>
    <row r="15628" spans="1:2" x14ac:dyDescent="0.3">
      <c r="A15628" s="9" t="str">
        <f>HYPERLINK("http://www.eatonpowersource.com/products/details/4993682-001","4993682-001")</f>
        <v>4993682-001</v>
      </c>
      <c r="B15628" s="10" t="s">
        <v>14862</v>
      </c>
    </row>
    <row r="15629" spans="1:2" x14ac:dyDescent="0.3">
      <c r="A15629" s="7" t="str">
        <f>HYPERLINK("http://www.eatonpowersource.com/products/details/4993691-001","4993691-001")</f>
        <v>4993691-001</v>
      </c>
      <c r="B15629" s="8" t="s">
        <v>14863</v>
      </c>
    </row>
    <row r="15630" spans="1:2" x14ac:dyDescent="0.3">
      <c r="A15630" s="9" t="str">
        <f>HYPERLINK("http://www.eatonpowersource.com/products/details/4993735-001","4993735-001")</f>
        <v>4993735-001</v>
      </c>
      <c r="B15630" s="10" t="s">
        <v>14864</v>
      </c>
    </row>
    <row r="15631" spans="1:2" x14ac:dyDescent="0.3">
      <c r="A15631" s="7" t="str">
        <f>HYPERLINK("http://www.eatonpowersource.com/products/details/4994698-001","4994698-001")</f>
        <v>4994698-001</v>
      </c>
      <c r="B15631" s="8" t="s">
        <v>14865</v>
      </c>
    </row>
    <row r="15632" spans="1:2" x14ac:dyDescent="0.3">
      <c r="A15632" s="9" t="str">
        <f>HYPERLINK("http://www.eatonpowersource.com/products/details/4994699-001","4994699-001")</f>
        <v>4994699-001</v>
      </c>
      <c r="B15632" s="10" t="s">
        <v>14866</v>
      </c>
    </row>
    <row r="15633" spans="1:2" x14ac:dyDescent="0.3">
      <c r="A15633" s="7" t="str">
        <f>HYPERLINK("http://www.eatonpowersource.com/products/details/4994730-300","4994730-300")</f>
        <v>4994730-300</v>
      </c>
      <c r="B15633" s="8" t="s">
        <v>14867</v>
      </c>
    </row>
    <row r="15634" spans="1:2" x14ac:dyDescent="0.3">
      <c r="A15634" s="9" t="str">
        <f>HYPERLINK("http://www.eatonpowersource.com/products/details/4994730-400","4994730-400")</f>
        <v>4994730-400</v>
      </c>
      <c r="B15634" s="10" t="s">
        <v>14867</v>
      </c>
    </row>
    <row r="15635" spans="1:2" x14ac:dyDescent="0.3">
      <c r="A15635" s="7" t="str">
        <f>HYPERLINK("http://www.eatonpowersource.com/products/details/4994730-600","4994730-600")</f>
        <v>4994730-600</v>
      </c>
      <c r="B15635" s="8" t="s">
        <v>14868</v>
      </c>
    </row>
    <row r="15636" spans="1:2" x14ac:dyDescent="0.3">
      <c r="A15636" s="9" t="str">
        <f>HYPERLINK("http://www.eatonpowersource.com/products/details/4994791-004","4994791-004")</f>
        <v>4994791-004</v>
      </c>
      <c r="B15636" s="10" t="s">
        <v>14869</v>
      </c>
    </row>
    <row r="15637" spans="1:2" x14ac:dyDescent="0.3">
      <c r="A15637" s="7" t="str">
        <f>HYPERLINK("http://www.eatonpowersource.com/products/details/4995082-003","4995082-003")</f>
        <v>4995082-003</v>
      </c>
      <c r="B15637" s="8" t="s">
        <v>14870</v>
      </c>
    </row>
    <row r="15638" spans="1:2" x14ac:dyDescent="0.3">
      <c r="A15638" s="9" t="str">
        <f>HYPERLINK("http://www.eatonpowersource.com/products/details/4995293-001","4995293-001")</f>
        <v>4995293-001</v>
      </c>
      <c r="B15638" s="10" t="s">
        <v>14871</v>
      </c>
    </row>
    <row r="15639" spans="1:2" x14ac:dyDescent="0.3">
      <c r="A15639" s="7" t="str">
        <f>HYPERLINK("http://www.eatonpowersource.com/products/details/4995294-001","4995294-001")</f>
        <v>4995294-001</v>
      </c>
      <c r="B15639" s="8" t="s">
        <v>14872</v>
      </c>
    </row>
    <row r="15640" spans="1:2" x14ac:dyDescent="0.3">
      <c r="A15640" s="9" t="str">
        <f>HYPERLINK("http://www.eatonpowersource.com/products/details/4995488-014","4995488-014")</f>
        <v>4995488-014</v>
      </c>
      <c r="B15640" s="10" t="s">
        <v>14873</v>
      </c>
    </row>
    <row r="15641" spans="1:2" x14ac:dyDescent="0.3">
      <c r="A15641" s="7" t="str">
        <f>HYPERLINK("http://www.eatonpowersource.com/products/details/4995489-014","4995489-014")</f>
        <v>4995489-014</v>
      </c>
      <c r="B15641" s="8" t="s">
        <v>14874</v>
      </c>
    </row>
    <row r="15642" spans="1:2" x14ac:dyDescent="0.3">
      <c r="A15642" s="9" t="str">
        <f>HYPERLINK("http://www.eatonpowersource.com/products/details/4995491-001","4995491-001")</f>
        <v>4995491-001</v>
      </c>
      <c r="B15642" s="10" t="s">
        <v>14875</v>
      </c>
    </row>
    <row r="15643" spans="1:2" x14ac:dyDescent="0.3">
      <c r="A15643" s="7" t="str">
        <f>HYPERLINK("http://www.eatonpowersource.com/products/details/4995492-001","4995492-001")</f>
        <v>4995492-001</v>
      </c>
      <c r="B15643" s="8" t="s">
        <v>14876</v>
      </c>
    </row>
    <row r="15644" spans="1:2" x14ac:dyDescent="0.3">
      <c r="A15644" s="9" t="str">
        <f>HYPERLINK("http://www.eatonpowersource.com/products/details/4996641-006","4996641-006")</f>
        <v>4996641-006</v>
      </c>
      <c r="B15644" s="10" t="s">
        <v>14877</v>
      </c>
    </row>
    <row r="15645" spans="1:2" x14ac:dyDescent="0.3">
      <c r="A15645" s="7" t="str">
        <f>HYPERLINK("http://www.eatonpowersource.com/products/details/4997139-001","4997139-001")</f>
        <v>4997139-001</v>
      </c>
      <c r="B15645" s="8" t="s">
        <v>14878</v>
      </c>
    </row>
    <row r="15646" spans="1:2" x14ac:dyDescent="0.3">
      <c r="A15646" s="9" t="str">
        <f>HYPERLINK("http://www.eatonpowersource.com/products/details/4997139-003","4997139-003")</f>
        <v>4997139-003</v>
      </c>
      <c r="B15646" s="10" t="s">
        <v>14878</v>
      </c>
    </row>
    <row r="15647" spans="1:2" x14ac:dyDescent="0.3">
      <c r="A15647" s="7" t="str">
        <f>HYPERLINK("http://www.eatonpowersource.com/products/details/4997174-001","4997174-001")</f>
        <v>4997174-001</v>
      </c>
      <c r="B15647" s="8" t="s">
        <v>14879</v>
      </c>
    </row>
    <row r="15648" spans="1:2" x14ac:dyDescent="0.3">
      <c r="A15648" s="9" t="str">
        <f>HYPERLINK("http://www.eatonpowersource.com/products/details/4997174-003","4997174-003")</f>
        <v>4997174-003</v>
      </c>
      <c r="B15648" s="10" t="s">
        <v>14880</v>
      </c>
    </row>
    <row r="15649" spans="1:2" x14ac:dyDescent="0.3">
      <c r="A15649" s="7" t="str">
        <f>HYPERLINK("http://www.eatonpowersource.com/products/details/4997174-004","4997174-004")</f>
        <v>4997174-004</v>
      </c>
      <c r="B15649" s="8" t="s">
        <v>14881</v>
      </c>
    </row>
    <row r="15650" spans="1:2" x14ac:dyDescent="0.3">
      <c r="A15650" s="9" t="str">
        <f>HYPERLINK("http://www.eatonpowersource.com/products/details/4997174-005","4997174-005")</f>
        <v>4997174-005</v>
      </c>
      <c r="B15650" s="10" t="s">
        <v>14882</v>
      </c>
    </row>
    <row r="15651" spans="1:2" x14ac:dyDescent="0.3">
      <c r="A15651" s="7" t="str">
        <f>HYPERLINK("http://www.eatonpowersource.com/products/details/4997176-001","4997176-001")</f>
        <v>4997176-001</v>
      </c>
      <c r="B15651" s="8" t="s">
        <v>14883</v>
      </c>
    </row>
    <row r="15652" spans="1:2" x14ac:dyDescent="0.3">
      <c r="A15652" s="9" t="str">
        <f>HYPERLINK("http://www.eatonpowersource.com/products/details/4997177-001","4997177-001")</f>
        <v>4997177-001</v>
      </c>
      <c r="B15652" s="10" t="s">
        <v>14884</v>
      </c>
    </row>
    <row r="15653" spans="1:2" x14ac:dyDescent="0.3">
      <c r="A15653" s="7" t="str">
        <f>HYPERLINK("http://www.eatonpowersource.com/products/details/4997177-005","4997177-005")</f>
        <v>4997177-005</v>
      </c>
      <c r="B15653" s="8" t="s">
        <v>14885</v>
      </c>
    </row>
    <row r="15654" spans="1:2" x14ac:dyDescent="0.3">
      <c r="A15654" s="9" t="str">
        <f>HYPERLINK("http://www.eatonpowersource.com/products/details/4997177-006","4997177-006")</f>
        <v>4997177-006</v>
      </c>
      <c r="B15654" s="10" t="s">
        <v>14886</v>
      </c>
    </row>
    <row r="15655" spans="1:2" x14ac:dyDescent="0.3">
      <c r="A15655" s="7" t="str">
        <f>HYPERLINK("http://www.eatonpowersource.com/products/details/4997177-012","4997177-012")</f>
        <v>4997177-012</v>
      </c>
      <c r="B15655" s="8" t="s">
        <v>14887</v>
      </c>
    </row>
    <row r="15656" spans="1:2" x14ac:dyDescent="0.3">
      <c r="A15656" s="9" t="str">
        <f>HYPERLINK("http://www.eatonpowersource.com/products/details/4997319-002","4997319-002")</f>
        <v>4997319-002</v>
      </c>
      <c r="B15656" s="10" t="s">
        <v>14888</v>
      </c>
    </row>
    <row r="15657" spans="1:2" x14ac:dyDescent="0.3">
      <c r="A15657" s="7" t="str">
        <f>HYPERLINK("http://www.eatonpowersource.com/products/details/4997402-013","4997402-013")</f>
        <v>4997402-013</v>
      </c>
      <c r="B15657" s="8" t="s">
        <v>14889</v>
      </c>
    </row>
    <row r="15658" spans="1:2" x14ac:dyDescent="0.3">
      <c r="A15658" s="9" t="str">
        <f>HYPERLINK("http://www.eatonpowersource.com/products/details/4997403-013","4997403-013")</f>
        <v>4997403-013</v>
      </c>
      <c r="B15658" s="10" t="s">
        <v>14890</v>
      </c>
    </row>
    <row r="15659" spans="1:2" x14ac:dyDescent="0.3">
      <c r="A15659" s="7" t="str">
        <f>HYPERLINK("http://www.eatonpowersource.com/products/details/4997927-001","4997927-001")</f>
        <v>4997927-001</v>
      </c>
      <c r="B15659" s="8" t="s">
        <v>9968</v>
      </c>
    </row>
    <row r="15660" spans="1:2" x14ac:dyDescent="0.3">
      <c r="A15660" s="9" t="str">
        <f>HYPERLINK("http://www.eatonpowersource.com/products/details/4997927-002","4997927-002")</f>
        <v>4997927-002</v>
      </c>
      <c r="B15660" s="10" t="s">
        <v>9968</v>
      </c>
    </row>
    <row r="15661" spans="1:2" x14ac:dyDescent="0.3">
      <c r="A15661" s="7" t="str">
        <f>HYPERLINK("http://www.eatonpowersource.com/products/details/4998516-001","4998516-001")</f>
        <v>4998516-001</v>
      </c>
      <c r="B15661" s="8" t="s">
        <v>14891</v>
      </c>
    </row>
    <row r="15662" spans="1:2" x14ac:dyDescent="0.3">
      <c r="A15662" s="9" t="str">
        <f>HYPERLINK("http://www.eatonpowersource.com/products/details/4998834-001","4998834-001")</f>
        <v>4998834-001</v>
      </c>
      <c r="B15662" s="10" t="s">
        <v>14892</v>
      </c>
    </row>
    <row r="15663" spans="1:2" x14ac:dyDescent="0.3">
      <c r="A15663" s="7" t="str">
        <f>HYPERLINK("http://www.eatonpowersource.com/products/details/4998935-001","4998935-001")</f>
        <v>4998935-001</v>
      </c>
      <c r="B15663" s="8" t="s">
        <v>14893</v>
      </c>
    </row>
    <row r="15664" spans="1:2" x14ac:dyDescent="0.3">
      <c r="A15664" s="9" t="str">
        <f>HYPERLINK("http://www.eatonpowersource.com/products/details/4999136-001","4999136-001")</f>
        <v>4999136-001</v>
      </c>
      <c r="B15664" s="10" t="s">
        <v>14894</v>
      </c>
    </row>
    <row r="15665" spans="1:2" x14ac:dyDescent="0.3">
      <c r="A15665" s="7" t="str">
        <f>HYPERLINK("http://www.eatonpowersource.com/products/details/4999493-001","4999493-001")</f>
        <v>4999493-001</v>
      </c>
      <c r="B15665" s="8" t="s">
        <v>14895</v>
      </c>
    </row>
    <row r="15666" spans="1:2" x14ac:dyDescent="0.3">
      <c r="A15666" s="9" t="str">
        <f>HYPERLINK("http://www.eatonpowersource.com/products/details/4999713-012","4999713-012")</f>
        <v>4999713-012</v>
      </c>
      <c r="B15666" s="10" t="s">
        <v>14896</v>
      </c>
    </row>
    <row r="15667" spans="1:2" x14ac:dyDescent="0.3">
      <c r="A15667" s="7" t="str">
        <f>HYPERLINK("http://www.eatonpowersource.com/products/details/50515-000","50515-000")</f>
        <v>50515-000</v>
      </c>
      <c r="B15667" s="8" t="s">
        <v>14897</v>
      </c>
    </row>
    <row r="15668" spans="1:2" x14ac:dyDescent="0.3">
      <c r="A15668" s="9" t="str">
        <f>HYPERLINK("http://www.eatonpowersource.com/products/details/50517-000","50517-000")</f>
        <v>50517-000</v>
      </c>
      <c r="B15668" s="10" t="s">
        <v>14898</v>
      </c>
    </row>
    <row r="15669" spans="1:2" x14ac:dyDescent="0.3">
      <c r="A15669" s="7" t="str">
        <f>HYPERLINK("http://www.eatonpowersource.com/products/details/5126-000","5126-000")</f>
        <v>5126-000</v>
      </c>
      <c r="B15669" s="8" t="s">
        <v>14899</v>
      </c>
    </row>
    <row r="15670" spans="1:2" x14ac:dyDescent="0.3">
      <c r="A15670" s="9" t="str">
        <f>HYPERLINK("http://www.eatonpowersource.com/products/details/5140-000","5140-000")</f>
        <v>5140-000</v>
      </c>
      <c r="B15670" s="10" t="s">
        <v>14900</v>
      </c>
    </row>
    <row r="15671" spans="1:2" x14ac:dyDescent="0.3">
      <c r="A15671" s="7" t="str">
        <f>HYPERLINK("http://www.eatonpowersource.com/products/details/52200-23","52200-23")</f>
        <v>52200-23</v>
      </c>
      <c r="B15671" s="8" t="s">
        <v>14901</v>
      </c>
    </row>
    <row r="15672" spans="1:2" x14ac:dyDescent="0.3">
      <c r="A15672" s="9" t="str">
        <f>HYPERLINK("http://www.eatonpowersource.com/products/details/5544-000","5544-000")</f>
        <v>5544-000</v>
      </c>
      <c r="B15672" s="10" t="s">
        <v>14902</v>
      </c>
    </row>
    <row r="15673" spans="1:2" x14ac:dyDescent="0.3">
      <c r="A15673" s="7" t="str">
        <f>HYPERLINK("http://www.eatonpowersource.com/products/details/5986478-001","5986478-001")</f>
        <v>5986478-001</v>
      </c>
      <c r="B15673" s="8" t="s">
        <v>14903</v>
      </c>
    </row>
    <row r="15674" spans="1:2" x14ac:dyDescent="0.3">
      <c r="A15674" s="9" t="str">
        <f>HYPERLINK("http://www.eatonpowersource.com/products/details/5986480-002","5986480-002")</f>
        <v>5986480-002</v>
      </c>
      <c r="B15674" s="10" t="s">
        <v>14904</v>
      </c>
    </row>
    <row r="15675" spans="1:2" x14ac:dyDescent="0.3">
      <c r="A15675" s="7" t="str">
        <f>HYPERLINK("http://www.eatonpowersource.com/products/details/5986480-004","5986480-004")</f>
        <v>5986480-004</v>
      </c>
      <c r="B15675" s="8" t="s">
        <v>14904</v>
      </c>
    </row>
    <row r="15676" spans="1:2" x14ac:dyDescent="0.3">
      <c r="A15676" s="9" t="str">
        <f>HYPERLINK("http://www.eatonpowersource.com/products/details/5986480-005","5986480-005")</f>
        <v>5986480-005</v>
      </c>
      <c r="B15676" s="10" t="s">
        <v>14904</v>
      </c>
    </row>
    <row r="15677" spans="1:2" x14ac:dyDescent="0.3">
      <c r="A15677" s="7" t="str">
        <f>HYPERLINK("http://www.eatonpowersource.com/products/details/5986480-006","5986480-006")</f>
        <v>5986480-006</v>
      </c>
      <c r="B15677" s="8" t="s">
        <v>14904</v>
      </c>
    </row>
    <row r="15678" spans="1:2" x14ac:dyDescent="0.3">
      <c r="A15678" s="9" t="str">
        <f>HYPERLINK("http://www.eatonpowersource.com/products/details/5986480-011","5986480-011")</f>
        <v>5986480-011</v>
      </c>
      <c r="B15678" s="10" t="s">
        <v>14905</v>
      </c>
    </row>
    <row r="15679" spans="1:2" x14ac:dyDescent="0.3">
      <c r="A15679" s="7" t="str">
        <f>HYPERLINK("http://www.eatonpowersource.com/products/details/5986481-004","5986481-004")</f>
        <v>5986481-004</v>
      </c>
      <c r="B15679" s="8" t="s">
        <v>14906</v>
      </c>
    </row>
    <row r="15680" spans="1:2" x14ac:dyDescent="0.3">
      <c r="A15680" s="9" t="str">
        <f>HYPERLINK("http://www.eatonpowersource.com/products/details/5986496-001","5986496-001")</f>
        <v>5986496-001</v>
      </c>
      <c r="B15680" s="10" t="s">
        <v>14907</v>
      </c>
    </row>
    <row r="15681" spans="1:2" x14ac:dyDescent="0.3">
      <c r="A15681" s="7" t="str">
        <f>HYPERLINK("http://www.eatonpowersource.com/products/details/5986522-001","5986522-001")</f>
        <v>5986522-001</v>
      </c>
      <c r="B15681" s="8" t="s">
        <v>14908</v>
      </c>
    </row>
    <row r="15682" spans="1:2" x14ac:dyDescent="0.3">
      <c r="A15682" s="9" t="str">
        <f>HYPERLINK("http://www.eatonpowersource.com/products/details/5986523-001","5986523-001")</f>
        <v>5986523-001</v>
      </c>
      <c r="B15682" s="10" t="s">
        <v>14909</v>
      </c>
    </row>
    <row r="15683" spans="1:2" x14ac:dyDescent="0.3">
      <c r="A15683" s="7" t="str">
        <f>HYPERLINK("http://www.eatonpowersource.com/products/details/5986525-001","5986525-001")</f>
        <v>5986525-001</v>
      </c>
      <c r="B15683" s="8" t="s">
        <v>14910</v>
      </c>
    </row>
    <row r="15684" spans="1:2" x14ac:dyDescent="0.3">
      <c r="A15684" s="9" t="str">
        <f>HYPERLINK("http://www.eatonpowersource.com/products/details/5986548-001","5986548-001")</f>
        <v>5986548-001</v>
      </c>
      <c r="B15684" s="10" t="s">
        <v>14911</v>
      </c>
    </row>
    <row r="15685" spans="1:2" x14ac:dyDescent="0.3">
      <c r="A15685" s="7" t="str">
        <f>HYPERLINK("http://www.eatonpowersource.com/products/details/5986550-005","5986550-005")</f>
        <v>5986550-005</v>
      </c>
      <c r="B15685" s="8" t="s">
        <v>13906</v>
      </c>
    </row>
    <row r="15686" spans="1:2" x14ac:dyDescent="0.3">
      <c r="A15686" s="9" t="str">
        <f>HYPERLINK("http://www.eatonpowersource.com/products/details/5986550-006","5986550-006")</f>
        <v>5986550-006</v>
      </c>
      <c r="B15686" s="10" t="s">
        <v>13906</v>
      </c>
    </row>
    <row r="15687" spans="1:2" x14ac:dyDescent="0.3">
      <c r="A15687" s="7" t="str">
        <f>HYPERLINK("http://www.eatonpowersource.com/products/details/5986578-001","5986578-001")</f>
        <v>5986578-001</v>
      </c>
      <c r="B15687" s="8" t="s">
        <v>14912</v>
      </c>
    </row>
    <row r="15688" spans="1:2" x14ac:dyDescent="0.3">
      <c r="A15688" s="9" t="str">
        <f>HYPERLINK("http://www.eatonpowersource.com/products/details/5986963-001","5986963-001")</f>
        <v>5986963-001</v>
      </c>
      <c r="B15688" s="10" t="s">
        <v>14913</v>
      </c>
    </row>
    <row r="15689" spans="1:2" x14ac:dyDescent="0.3">
      <c r="A15689" s="7" t="str">
        <f>HYPERLINK("http://www.eatonpowersource.com/products/details/5987016-001","5987016-001")</f>
        <v>5987016-001</v>
      </c>
      <c r="B15689" s="8" t="s">
        <v>14914</v>
      </c>
    </row>
    <row r="15690" spans="1:2" x14ac:dyDescent="0.3">
      <c r="A15690" s="9" t="str">
        <f>HYPERLINK("http://www.eatonpowersource.com/products/details/5987111-032","5987111-032")</f>
        <v>5987111-032</v>
      </c>
      <c r="B15690" s="10" t="s">
        <v>14438</v>
      </c>
    </row>
    <row r="15691" spans="1:2" x14ac:dyDescent="0.3">
      <c r="A15691" s="7" t="str">
        <f>HYPERLINK("http://www.eatonpowersource.com/products/details/5987159-001","5987159-001")</f>
        <v>5987159-001</v>
      </c>
      <c r="B15691" s="8" t="s">
        <v>14915</v>
      </c>
    </row>
    <row r="15692" spans="1:2" x14ac:dyDescent="0.3">
      <c r="A15692" s="9" t="str">
        <f>HYPERLINK("http://www.eatonpowersource.com/products/details/5987386-001","5987386-001")</f>
        <v>5987386-001</v>
      </c>
      <c r="B15692" s="10" t="s">
        <v>14916</v>
      </c>
    </row>
    <row r="15693" spans="1:2" x14ac:dyDescent="0.3">
      <c r="A15693" s="7" t="str">
        <f>HYPERLINK("http://www.eatonpowersource.com/products/details/5987445-001","5987445-001")</f>
        <v>5987445-001</v>
      </c>
      <c r="B15693" s="8" t="s">
        <v>14917</v>
      </c>
    </row>
    <row r="15694" spans="1:2" x14ac:dyDescent="0.3">
      <c r="A15694" s="9" t="str">
        <f>HYPERLINK("http://www.eatonpowersource.com/products/details/5987569-013","5987569-013")</f>
        <v>5987569-013</v>
      </c>
      <c r="B15694" s="10" t="s">
        <v>14918</v>
      </c>
    </row>
    <row r="15695" spans="1:2" x14ac:dyDescent="0.3">
      <c r="A15695" s="7" t="str">
        <f>HYPERLINK("http://www.eatonpowersource.com/products/details/5987800-001","5987800-001")</f>
        <v>5987800-001</v>
      </c>
      <c r="B15695" s="8" t="s">
        <v>14919</v>
      </c>
    </row>
    <row r="15696" spans="1:2" x14ac:dyDescent="0.3">
      <c r="A15696" s="9" t="str">
        <f>HYPERLINK("http://www.eatonpowersource.com/products/details/5988112-001","5988112-001")</f>
        <v>5988112-001</v>
      </c>
      <c r="B15696" s="10" t="s">
        <v>14920</v>
      </c>
    </row>
    <row r="15697" spans="1:2" x14ac:dyDescent="0.3">
      <c r="A15697" s="7" t="str">
        <f>HYPERLINK("http://www.eatonpowersource.com/products/details/5989247-001","5989247-001")</f>
        <v>5989247-001</v>
      </c>
      <c r="B15697" s="8" t="s">
        <v>14921</v>
      </c>
    </row>
    <row r="15698" spans="1:2" x14ac:dyDescent="0.3">
      <c r="A15698" s="9" t="str">
        <f>HYPERLINK("http://www.eatonpowersource.com/products/details/5989326-002","5989326-002")</f>
        <v>5989326-002</v>
      </c>
      <c r="B15698" s="10" t="s">
        <v>14922</v>
      </c>
    </row>
    <row r="15699" spans="1:2" x14ac:dyDescent="0.3">
      <c r="A15699" s="7" t="str">
        <f>HYPERLINK("http://www.eatonpowersource.com/products/details/5989335-001","5989335-001")</f>
        <v>5989335-001</v>
      </c>
      <c r="B15699" s="8" t="s">
        <v>14923</v>
      </c>
    </row>
    <row r="15700" spans="1:2" x14ac:dyDescent="0.3">
      <c r="A15700" s="9" t="str">
        <f>HYPERLINK("http://www.eatonpowersource.com/products/details/5989483-002","5989483-002")</f>
        <v>5989483-002</v>
      </c>
      <c r="B15700" s="10" t="s">
        <v>14924</v>
      </c>
    </row>
    <row r="15701" spans="1:2" x14ac:dyDescent="0.3">
      <c r="A15701" s="7" t="str">
        <f>HYPERLINK("http://www.eatonpowersource.com/products/details/5989814-001","5989814-001")</f>
        <v>5989814-001</v>
      </c>
      <c r="B15701" s="8" t="s">
        <v>14925</v>
      </c>
    </row>
    <row r="15702" spans="1:2" x14ac:dyDescent="0.3">
      <c r="A15702" s="9" t="str">
        <f>HYPERLINK("http://www.eatonpowersource.com/products/details/5991645-001","5991645-001")</f>
        <v>5991645-001</v>
      </c>
      <c r="B15702" s="10" t="s">
        <v>14926</v>
      </c>
    </row>
    <row r="15703" spans="1:2" x14ac:dyDescent="0.3">
      <c r="A15703" s="7" t="str">
        <f>HYPERLINK("http://www.eatonpowersource.com/products/details/5991645-002","5991645-002")</f>
        <v>5991645-002</v>
      </c>
      <c r="B15703" s="8" t="s">
        <v>14715</v>
      </c>
    </row>
    <row r="15704" spans="1:2" x14ac:dyDescent="0.3">
      <c r="A15704" s="9" t="str">
        <f>HYPERLINK("http://www.eatonpowersource.com/products/details/5991701-001","5991701-001")</f>
        <v>5991701-001</v>
      </c>
      <c r="B15704" s="10" t="s">
        <v>14927</v>
      </c>
    </row>
    <row r="15705" spans="1:2" x14ac:dyDescent="0.3">
      <c r="A15705" s="7" t="str">
        <f>HYPERLINK("http://www.eatonpowersource.com/products/details/5991701-002","5991701-002")</f>
        <v>5991701-002</v>
      </c>
      <c r="B15705" s="8" t="s">
        <v>14928</v>
      </c>
    </row>
    <row r="15706" spans="1:2" x14ac:dyDescent="0.3">
      <c r="A15706" s="9" t="str">
        <f>HYPERLINK("http://www.eatonpowersource.com/products/details/5991701-003","5991701-003")</f>
        <v>5991701-003</v>
      </c>
      <c r="B15706" s="10" t="s">
        <v>14928</v>
      </c>
    </row>
    <row r="15707" spans="1:2" x14ac:dyDescent="0.3">
      <c r="A15707" s="7" t="str">
        <f>HYPERLINK("http://www.eatonpowersource.com/products/details/5991701-006","5991701-006")</f>
        <v>5991701-006</v>
      </c>
      <c r="B15707" s="8" t="s">
        <v>14928</v>
      </c>
    </row>
    <row r="15708" spans="1:2" x14ac:dyDescent="0.3">
      <c r="A15708" s="9" t="str">
        <f>HYPERLINK("http://www.eatonpowersource.com/products/details/5991701-007","5991701-007")</f>
        <v>5991701-007</v>
      </c>
      <c r="B15708" s="10" t="s">
        <v>14928</v>
      </c>
    </row>
    <row r="15709" spans="1:2" x14ac:dyDescent="0.3">
      <c r="A15709" s="7" t="str">
        <f>HYPERLINK("http://www.eatonpowersource.com/products/details/5991781-001","5991781-001")</f>
        <v>5991781-001</v>
      </c>
      <c r="B15709" s="8" t="s">
        <v>14929</v>
      </c>
    </row>
    <row r="15710" spans="1:2" x14ac:dyDescent="0.3">
      <c r="A15710" s="9" t="str">
        <f>HYPERLINK("http://www.eatonpowersource.com/products/details/5991782-001","5991782-001")</f>
        <v>5991782-001</v>
      </c>
      <c r="B15710" s="10" t="s">
        <v>14930</v>
      </c>
    </row>
    <row r="15711" spans="1:2" x14ac:dyDescent="0.3">
      <c r="A15711" s="7" t="str">
        <f>HYPERLINK("http://www.eatonpowersource.com/products/details/5991783-001","5991783-001")</f>
        <v>5991783-001</v>
      </c>
      <c r="B15711" s="8" t="s">
        <v>14931</v>
      </c>
    </row>
    <row r="15712" spans="1:2" x14ac:dyDescent="0.3">
      <c r="A15712" s="9" t="str">
        <f>HYPERLINK("http://www.eatonpowersource.com/products/details/5991796-017","5991796-017")</f>
        <v>5991796-017</v>
      </c>
      <c r="B15712" s="10" t="s">
        <v>14932</v>
      </c>
    </row>
    <row r="15713" spans="1:2" x14ac:dyDescent="0.3">
      <c r="A15713" s="7" t="str">
        <f>HYPERLINK("http://www.eatonpowersource.com/products/details/5991796-019","5991796-019")</f>
        <v>5991796-019</v>
      </c>
      <c r="B15713" s="8" t="s">
        <v>14932</v>
      </c>
    </row>
    <row r="15714" spans="1:2" x14ac:dyDescent="0.3">
      <c r="A15714" s="9" t="str">
        <f>HYPERLINK("http://www.eatonpowersource.com/products/details/5991881-001","5991881-001")</f>
        <v>5991881-001</v>
      </c>
      <c r="B15714" s="10" t="s">
        <v>14933</v>
      </c>
    </row>
    <row r="15715" spans="1:2" x14ac:dyDescent="0.3">
      <c r="A15715" s="7" t="str">
        <f>HYPERLINK("http://www.eatonpowersource.com/products/details/5992182-001","5992182-001")</f>
        <v>5992182-001</v>
      </c>
      <c r="B15715" s="8" t="s">
        <v>14934</v>
      </c>
    </row>
    <row r="15716" spans="1:2" x14ac:dyDescent="0.3">
      <c r="A15716" s="9" t="str">
        <f>HYPERLINK("http://www.eatonpowersource.com/products/details/5992182-002","5992182-002")</f>
        <v>5992182-002</v>
      </c>
      <c r="B15716" s="10" t="s">
        <v>14935</v>
      </c>
    </row>
    <row r="15717" spans="1:2" x14ac:dyDescent="0.3">
      <c r="A15717" s="7" t="str">
        <f>HYPERLINK("http://www.eatonpowersource.com/products/details/5992182-003","5992182-003")</f>
        <v>5992182-003</v>
      </c>
      <c r="B15717" s="8" t="s">
        <v>14934</v>
      </c>
    </row>
    <row r="15718" spans="1:2" x14ac:dyDescent="0.3">
      <c r="A15718" s="9" t="str">
        <f>HYPERLINK("http://www.eatonpowersource.com/products/details/5992182-006","5992182-006")</f>
        <v>5992182-006</v>
      </c>
      <c r="B15718" s="10" t="s">
        <v>14934</v>
      </c>
    </row>
    <row r="15719" spans="1:2" x14ac:dyDescent="0.3">
      <c r="A15719" s="7" t="str">
        <f>HYPERLINK("http://www.eatonpowersource.com/products/details/5992182-008","5992182-008")</f>
        <v>5992182-008</v>
      </c>
      <c r="B15719" s="8" t="s">
        <v>14934</v>
      </c>
    </row>
    <row r="15720" spans="1:2" x14ac:dyDescent="0.3">
      <c r="A15720" s="9" t="str">
        <f>HYPERLINK("http://www.eatonpowersource.com/products/details/5992224-008","5992224-008")</f>
        <v>5992224-008</v>
      </c>
      <c r="B15720" s="10" t="s">
        <v>14936</v>
      </c>
    </row>
    <row r="15721" spans="1:2" x14ac:dyDescent="0.3">
      <c r="A15721" s="7" t="str">
        <f>HYPERLINK("http://www.eatonpowersource.com/products/details/5992224-009","5992224-009")</f>
        <v>5992224-009</v>
      </c>
      <c r="B15721" s="8" t="s">
        <v>14936</v>
      </c>
    </row>
    <row r="15722" spans="1:2" x14ac:dyDescent="0.3">
      <c r="A15722" s="9" t="str">
        <f>HYPERLINK("http://www.eatonpowersource.com/products/details/5992342-001","5992342-001")</f>
        <v>5992342-001</v>
      </c>
      <c r="B15722" s="10" t="s">
        <v>14937</v>
      </c>
    </row>
    <row r="15723" spans="1:2" x14ac:dyDescent="0.3">
      <c r="A15723" s="7" t="str">
        <f>HYPERLINK("http://www.eatonpowersource.com/products/details/5992553-012","5992553-012")</f>
        <v>5992553-012</v>
      </c>
      <c r="B15723" s="8" t="s">
        <v>14938</v>
      </c>
    </row>
    <row r="15724" spans="1:2" x14ac:dyDescent="0.3">
      <c r="A15724" s="9" t="str">
        <f>HYPERLINK("http://www.eatonpowersource.com/products/details/5992815-001","5992815-001")</f>
        <v>5992815-001</v>
      </c>
      <c r="B15724" s="10" t="s">
        <v>14893</v>
      </c>
    </row>
    <row r="15725" spans="1:2" x14ac:dyDescent="0.3">
      <c r="A15725" s="7" t="str">
        <f>HYPERLINK("http://www.eatonpowersource.com/products/details/5992823-006","5992823-006")</f>
        <v>5992823-006</v>
      </c>
      <c r="B15725" s="8" t="s">
        <v>14939</v>
      </c>
    </row>
    <row r="15726" spans="1:2" x14ac:dyDescent="0.3">
      <c r="A15726" s="9" t="str">
        <f>HYPERLINK("http://www.eatonpowersource.com/products/details/5992829-002","5992829-002")</f>
        <v>5992829-002</v>
      </c>
      <c r="B15726" s="10" t="s">
        <v>14487</v>
      </c>
    </row>
    <row r="15727" spans="1:2" x14ac:dyDescent="0.3">
      <c r="A15727" s="7" t="str">
        <f>HYPERLINK("http://www.eatonpowersource.com/products/details/5993053-001","5993053-001")</f>
        <v>5993053-001</v>
      </c>
      <c r="B15727" s="8" t="s">
        <v>14940</v>
      </c>
    </row>
    <row r="15728" spans="1:2" x14ac:dyDescent="0.3">
      <c r="A15728" s="9" t="str">
        <f>HYPERLINK("http://www.eatonpowersource.com/products/details/5993053-008","5993053-008")</f>
        <v>5993053-008</v>
      </c>
      <c r="B15728" s="10" t="s">
        <v>14941</v>
      </c>
    </row>
    <row r="15729" spans="1:2" x14ac:dyDescent="0.3">
      <c r="A15729" s="7" t="str">
        <f>HYPERLINK("http://www.eatonpowersource.com/products/details/5993079-001","5993079-001")</f>
        <v>5993079-001</v>
      </c>
      <c r="B15729" s="8" t="s">
        <v>14942</v>
      </c>
    </row>
    <row r="15730" spans="1:2" x14ac:dyDescent="0.3">
      <c r="A15730" s="9" t="str">
        <f>HYPERLINK("http://www.eatonpowersource.com/products/details/5993120-001","5993120-001")</f>
        <v>5993120-001</v>
      </c>
      <c r="B15730" s="10" t="s">
        <v>14943</v>
      </c>
    </row>
    <row r="15731" spans="1:2" x14ac:dyDescent="0.3">
      <c r="A15731" s="7" t="str">
        <f>HYPERLINK("http://www.eatonpowersource.com/products/details/5993173-009","5993173-009")</f>
        <v>5993173-009</v>
      </c>
      <c r="B15731" s="8" t="s">
        <v>14944</v>
      </c>
    </row>
    <row r="15732" spans="1:2" x14ac:dyDescent="0.3">
      <c r="A15732" s="9" t="str">
        <f>HYPERLINK("http://www.eatonpowersource.com/products/details/5993173-012","5993173-012")</f>
        <v>5993173-012</v>
      </c>
      <c r="B15732" s="10" t="s">
        <v>14945</v>
      </c>
    </row>
    <row r="15733" spans="1:2" x14ac:dyDescent="0.3">
      <c r="A15733" s="7" t="str">
        <f>HYPERLINK("http://www.eatonpowersource.com/products/details/5993989-004","5993989-004")</f>
        <v>5993989-004</v>
      </c>
      <c r="B15733" s="8" t="s">
        <v>14946</v>
      </c>
    </row>
    <row r="15734" spans="1:2" x14ac:dyDescent="0.3">
      <c r="A15734" s="9" t="str">
        <f>HYPERLINK("http://www.eatonpowersource.com/products/details/5995483-001","5995483-001")</f>
        <v>5995483-001</v>
      </c>
      <c r="B15734" s="10" t="s">
        <v>14947</v>
      </c>
    </row>
    <row r="15735" spans="1:2" x14ac:dyDescent="0.3">
      <c r="A15735" s="7" t="str">
        <f>HYPERLINK("http://www.eatonpowersource.com/products/details/5995542-012","5995542-012")</f>
        <v>5995542-012</v>
      </c>
      <c r="B15735" s="8" t="s">
        <v>14855</v>
      </c>
    </row>
    <row r="15736" spans="1:2" x14ac:dyDescent="0.3">
      <c r="A15736" s="9" t="str">
        <f>HYPERLINK("http://www.eatonpowersource.com/products/details/5996557-001","5996557-001")</f>
        <v>5996557-001</v>
      </c>
      <c r="B15736" s="10" t="s">
        <v>14948</v>
      </c>
    </row>
    <row r="15737" spans="1:2" x14ac:dyDescent="0.3">
      <c r="A15737" s="7" t="str">
        <f>HYPERLINK("http://www.eatonpowersource.com/products/details/5996620-005","5996620-005")</f>
        <v>5996620-005</v>
      </c>
      <c r="B15737" s="8" t="s">
        <v>14877</v>
      </c>
    </row>
    <row r="15738" spans="1:2" x14ac:dyDescent="0.3">
      <c r="A15738" s="9" t="str">
        <f>HYPERLINK("http://www.eatonpowersource.com/products/details/5998515-005","5998515-005")</f>
        <v>5998515-005</v>
      </c>
      <c r="B15738" s="10" t="s">
        <v>14949</v>
      </c>
    </row>
    <row r="15739" spans="1:2" x14ac:dyDescent="0.3">
      <c r="A15739" s="7" t="str">
        <f>HYPERLINK("http://www.eatonpowersource.com/products/details/5998515-006","5998515-006")</f>
        <v>5998515-006</v>
      </c>
      <c r="B15739" s="8" t="s">
        <v>14949</v>
      </c>
    </row>
    <row r="15740" spans="1:2" x14ac:dyDescent="0.3">
      <c r="A15740" s="9" t="str">
        <f>HYPERLINK("http://www.eatonpowersource.com/products/details/5998515-007","5998515-007")</f>
        <v>5998515-007</v>
      </c>
      <c r="B15740" s="10" t="s">
        <v>14949</v>
      </c>
    </row>
    <row r="15741" spans="1:2" x14ac:dyDescent="0.3">
      <c r="A15741" s="7" t="str">
        <f>HYPERLINK("http://www.eatonpowersource.com/products/details/5998727-007","5998727-007")</f>
        <v>5998727-007</v>
      </c>
      <c r="B15741" s="8" t="s">
        <v>14950</v>
      </c>
    </row>
    <row r="15742" spans="1:2" x14ac:dyDescent="0.3">
      <c r="A15742" s="9" t="str">
        <f>HYPERLINK("http://www.eatonpowersource.com/products/details/5999353-001","5999353-001")</f>
        <v>5999353-001</v>
      </c>
      <c r="B15742" s="10" t="s">
        <v>14951</v>
      </c>
    </row>
    <row r="15743" spans="1:2" x14ac:dyDescent="0.3">
      <c r="A15743" s="7" t="str">
        <f>HYPERLINK("http://www.eatonpowersource.com/products/details/5999981-001","5999981-001")</f>
        <v>5999981-001</v>
      </c>
      <c r="B15743" s="8" t="s">
        <v>14952</v>
      </c>
    </row>
    <row r="15744" spans="1:2" x14ac:dyDescent="0.3">
      <c r="A15744" s="9" t="str">
        <f>HYPERLINK("http://www.eatonpowersource.com/products/details/60023-000","60023-000")</f>
        <v>60023-000</v>
      </c>
      <c r="B15744" s="10" t="s">
        <v>2797</v>
      </c>
    </row>
    <row r="15745" spans="1:2" x14ac:dyDescent="0.3">
      <c r="A15745" s="7" t="str">
        <f>HYPERLINK("http://www.eatonpowersource.com/products/details/60026-000","60026-000")</f>
        <v>60026-000</v>
      </c>
      <c r="B15745" s="8" t="s">
        <v>14953</v>
      </c>
    </row>
    <row r="15746" spans="1:2" x14ac:dyDescent="0.3">
      <c r="A15746" s="9" t="str">
        <f>HYPERLINK("http://www.eatonpowersource.com/products/details/60036-000","60036-000")</f>
        <v>60036-000</v>
      </c>
      <c r="B15746" s="10" t="s">
        <v>14954</v>
      </c>
    </row>
    <row r="15747" spans="1:2" x14ac:dyDescent="0.3">
      <c r="A15747" s="7" t="str">
        <f>HYPERLINK("http://www.eatonpowersource.com/products/details/60042-000","60042-000")</f>
        <v>60042-000</v>
      </c>
      <c r="B15747" s="8" t="s">
        <v>14955</v>
      </c>
    </row>
    <row r="15748" spans="1:2" x14ac:dyDescent="0.3">
      <c r="A15748" s="9" t="str">
        <f>HYPERLINK("http://www.eatonpowersource.com/products/details/6021805-001","6021805-001")</f>
        <v>6021805-001</v>
      </c>
      <c r="B15748" s="10" t="s">
        <v>10099</v>
      </c>
    </row>
    <row r="15749" spans="1:2" x14ac:dyDescent="0.3">
      <c r="A15749" s="7" t="str">
        <f>HYPERLINK("http://www.eatonpowersource.com/products/details/6023120-001","6023120-001")</f>
        <v>6023120-001</v>
      </c>
      <c r="B15749" s="8" t="s">
        <v>14956</v>
      </c>
    </row>
    <row r="15750" spans="1:2" x14ac:dyDescent="0.3">
      <c r="A15750" s="9" t="str">
        <f>HYPERLINK("http://www.eatonpowersource.com/products/details/6023947-003","6023947-003")</f>
        <v>6023947-003</v>
      </c>
      <c r="B15750" s="10" t="s">
        <v>14957</v>
      </c>
    </row>
    <row r="15751" spans="1:2" x14ac:dyDescent="0.3">
      <c r="A15751" s="7" t="str">
        <f>HYPERLINK("http://www.eatonpowersource.com/products/details/6023986-001","6023986-001")</f>
        <v>6023986-001</v>
      </c>
      <c r="B15751" s="8" t="s">
        <v>14958</v>
      </c>
    </row>
    <row r="15752" spans="1:2" x14ac:dyDescent="0.3">
      <c r="A15752" s="9" t="str">
        <f>HYPERLINK("http://www.eatonpowersource.com/products/details/6024263-001","6024263-001")</f>
        <v>6024263-001</v>
      </c>
      <c r="B15752" s="10" t="s">
        <v>14959</v>
      </c>
    </row>
    <row r="15753" spans="1:2" x14ac:dyDescent="0.3">
      <c r="A15753" s="7" t="str">
        <f>HYPERLINK("http://www.eatonpowersource.com/products/details/6024263-003","6024263-003")</f>
        <v>6024263-003</v>
      </c>
      <c r="B15753" s="8" t="s">
        <v>14960</v>
      </c>
    </row>
    <row r="15754" spans="1:2" x14ac:dyDescent="0.3">
      <c r="A15754" s="9" t="str">
        <f>HYPERLINK("http://www.eatonpowersource.com/products/details/6024303-001","6024303-001")</f>
        <v>6024303-001</v>
      </c>
      <c r="B15754" s="10" t="s">
        <v>14961</v>
      </c>
    </row>
    <row r="15755" spans="1:2" x14ac:dyDescent="0.3">
      <c r="A15755" s="7" t="str">
        <f>HYPERLINK("http://www.eatonpowersource.com/products/details/6024303-003","6024303-003")</f>
        <v>6024303-003</v>
      </c>
      <c r="B15755" s="8" t="s">
        <v>14962</v>
      </c>
    </row>
    <row r="15756" spans="1:2" x14ac:dyDescent="0.3">
      <c r="A15756" s="9" t="str">
        <f>HYPERLINK("http://www.eatonpowersource.com/products/details/6024303-004","6024303-004")</f>
        <v>6024303-004</v>
      </c>
      <c r="B15756" s="10" t="s">
        <v>14963</v>
      </c>
    </row>
    <row r="15757" spans="1:2" x14ac:dyDescent="0.3">
      <c r="A15757" s="7" t="str">
        <f>HYPERLINK("http://www.eatonpowersource.com/products/details/6024304-001","6024304-001")</f>
        <v>6024304-001</v>
      </c>
      <c r="B15757" s="8" t="s">
        <v>14964</v>
      </c>
    </row>
    <row r="15758" spans="1:2" x14ac:dyDescent="0.3">
      <c r="A15758" s="9" t="str">
        <f>HYPERLINK("http://www.eatonpowersource.com/products/details/6024304-003","6024304-003")</f>
        <v>6024304-003</v>
      </c>
      <c r="B15758" s="10" t="s">
        <v>14965</v>
      </c>
    </row>
    <row r="15759" spans="1:2" x14ac:dyDescent="0.3">
      <c r="A15759" s="7" t="str">
        <f>HYPERLINK("http://www.eatonpowersource.com/products/details/6024304-004","6024304-004")</f>
        <v>6024304-004</v>
      </c>
      <c r="B15759" s="8" t="s">
        <v>14965</v>
      </c>
    </row>
    <row r="15760" spans="1:2" x14ac:dyDescent="0.3">
      <c r="A15760" s="9" t="str">
        <f>HYPERLINK("http://www.eatonpowersource.com/products/details/6024429-001","6024429-001")</f>
        <v>6024429-001</v>
      </c>
      <c r="B15760" s="10" t="s">
        <v>14966</v>
      </c>
    </row>
    <row r="15761" spans="1:2" x14ac:dyDescent="0.3">
      <c r="A15761" s="7" t="str">
        <f>HYPERLINK("http://www.eatonpowersource.com/products/details/6025319-001","6025319-001")</f>
        <v>6025319-001</v>
      </c>
      <c r="B15761" s="8" t="s">
        <v>14967</v>
      </c>
    </row>
    <row r="15762" spans="1:2" x14ac:dyDescent="0.3">
      <c r="A15762" s="9" t="str">
        <f>HYPERLINK("http://www.eatonpowersource.com/products/details/6026077-001","6026077-001")</f>
        <v>6026077-001</v>
      </c>
      <c r="B15762" s="10" t="s">
        <v>14968</v>
      </c>
    </row>
    <row r="15763" spans="1:2" x14ac:dyDescent="0.3">
      <c r="A15763" s="7" t="str">
        <f>HYPERLINK("http://www.eatonpowersource.com/products/details/6026077-002","6026077-002")</f>
        <v>6026077-002</v>
      </c>
      <c r="B15763" s="8" t="s">
        <v>14969</v>
      </c>
    </row>
    <row r="15764" spans="1:2" x14ac:dyDescent="0.3">
      <c r="A15764" s="9" t="str">
        <f>HYPERLINK("http://www.eatonpowersource.com/products/details/6026812-004","6026812-004")</f>
        <v>6026812-004</v>
      </c>
      <c r="B15764" s="10" t="s">
        <v>14970</v>
      </c>
    </row>
    <row r="15765" spans="1:2" x14ac:dyDescent="0.3">
      <c r="A15765" s="7" t="str">
        <f>HYPERLINK("http://www.eatonpowersource.com/products/details/6026812-012","6026812-012")</f>
        <v>6026812-012</v>
      </c>
      <c r="B15765" s="8" t="s">
        <v>9974</v>
      </c>
    </row>
    <row r="15766" spans="1:2" x14ac:dyDescent="0.3">
      <c r="A15766" s="9" t="str">
        <f>HYPERLINK("http://www.eatonpowersource.com/products/details/6027560-004","6027560-004")</f>
        <v>6027560-004</v>
      </c>
      <c r="B15766" s="10" t="s">
        <v>14971</v>
      </c>
    </row>
    <row r="15767" spans="1:2" x14ac:dyDescent="0.3">
      <c r="A15767" s="7" t="str">
        <f>HYPERLINK("http://www.eatonpowersource.com/products/details/6027560-005","6027560-005")</f>
        <v>6027560-005</v>
      </c>
      <c r="B15767" s="8" t="s">
        <v>14971</v>
      </c>
    </row>
    <row r="15768" spans="1:2" x14ac:dyDescent="0.3">
      <c r="A15768" s="9" t="str">
        <f>HYPERLINK("http://www.eatonpowersource.com/products/details/6027560-007","6027560-007")</f>
        <v>6027560-007</v>
      </c>
      <c r="B15768" s="10" t="s">
        <v>14971</v>
      </c>
    </row>
    <row r="15769" spans="1:2" x14ac:dyDescent="0.3">
      <c r="A15769" s="7" t="str">
        <f>HYPERLINK("http://www.eatonpowersource.com/products/details/6027560-008","6027560-008")</f>
        <v>6027560-008</v>
      </c>
      <c r="B15769" s="8" t="s">
        <v>14971</v>
      </c>
    </row>
    <row r="15770" spans="1:2" x14ac:dyDescent="0.3">
      <c r="A15770" s="9" t="str">
        <f>HYPERLINK("http://www.eatonpowersource.com/products/details/6028001-002","6028001-002")</f>
        <v>6028001-002</v>
      </c>
      <c r="B15770" s="10" t="s">
        <v>14972</v>
      </c>
    </row>
    <row r="15771" spans="1:2" x14ac:dyDescent="0.3">
      <c r="A15771" s="7" t="str">
        <f>HYPERLINK("http://www.eatonpowersource.com/products/details/6028182-001","6028182-001")</f>
        <v>6028182-001</v>
      </c>
      <c r="B15771" s="8" t="s">
        <v>14941</v>
      </c>
    </row>
    <row r="15772" spans="1:2" x14ac:dyDescent="0.3">
      <c r="A15772" s="9" t="str">
        <f>HYPERLINK("http://www.eatonpowersource.com/products/details/6028182-002","6028182-002")</f>
        <v>6028182-002</v>
      </c>
      <c r="B15772" s="10" t="s">
        <v>14941</v>
      </c>
    </row>
    <row r="15773" spans="1:2" x14ac:dyDescent="0.3">
      <c r="A15773" s="7" t="str">
        <f>HYPERLINK("http://www.eatonpowersource.com/products/details/6028182-008","6028182-008")</f>
        <v>6028182-008</v>
      </c>
      <c r="B15773" s="8" t="s">
        <v>14941</v>
      </c>
    </row>
    <row r="15774" spans="1:2" x14ac:dyDescent="0.3">
      <c r="A15774" s="9" t="str">
        <f>HYPERLINK("http://www.eatonpowersource.com/products/details/6028182-013","6028182-013")</f>
        <v>6028182-013</v>
      </c>
      <c r="B15774" s="10" t="s">
        <v>14941</v>
      </c>
    </row>
    <row r="15775" spans="1:2" x14ac:dyDescent="0.3">
      <c r="A15775" s="7" t="str">
        <f>HYPERLINK("http://www.eatonpowersource.com/products/details/6028722-001","6028722-001")</f>
        <v>6028722-001</v>
      </c>
      <c r="B15775" s="8" t="s">
        <v>14973</v>
      </c>
    </row>
    <row r="15776" spans="1:2" x14ac:dyDescent="0.3">
      <c r="A15776" s="9" t="str">
        <f>HYPERLINK("http://www.eatonpowersource.com/products/details/6029473-001","6029473-001")</f>
        <v>6029473-001</v>
      </c>
      <c r="B15776" s="10" t="s">
        <v>14974</v>
      </c>
    </row>
    <row r="15777" spans="1:2" x14ac:dyDescent="0.3">
      <c r="A15777" s="7" t="str">
        <f>HYPERLINK("http://www.eatonpowersource.com/products/details/6029630-001","6029630-001")</f>
        <v>6029630-001</v>
      </c>
      <c r="B15777" s="8" t="s">
        <v>14975</v>
      </c>
    </row>
    <row r="15778" spans="1:2" x14ac:dyDescent="0.3">
      <c r="A15778" s="9" t="str">
        <f>HYPERLINK("http://www.eatonpowersource.com/products/details/6029630-002","6029630-002")</f>
        <v>6029630-002</v>
      </c>
      <c r="B15778" s="10" t="s">
        <v>14976</v>
      </c>
    </row>
    <row r="15779" spans="1:2" x14ac:dyDescent="0.3">
      <c r="A15779" s="7" t="str">
        <f>HYPERLINK("http://www.eatonpowersource.com/products/details/6029838-001","6029838-001")</f>
        <v>6029838-001</v>
      </c>
      <c r="B15779" s="8" t="s">
        <v>14977</v>
      </c>
    </row>
    <row r="15780" spans="1:2" x14ac:dyDescent="0.3">
      <c r="A15780" s="9" t="str">
        <f>HYPERLINK("http://www.eatonpowersource.com/products/details/6029894-003","6029894-003")</f>
        <v>6029894-003</v>
      </c>
      <c r="B15780" s="10" t="s">
        <v>14978</v>
      </c>
    </row>
    <row r="15781" spans="1:2" x14ac:dyDescent="0.3">
      <c r="A15781" s="7" t="str">
        <f>HYPERLINK("http://www.eatonpowersource.com/products/details/6032761-002","6032761-002")</f>
        <v>6032761-002</v>
      </c>
      <c r="B15781" s="8" t="s">
        <v>14812</v>
      </c>
    </row>
    <row r="15782" spans="1:2" x14ac:dyDescent="0.3">
      <c r="A15782" s="9" t="str">
        <f>HYPERLINK("http://www.eatonpowersource.com/products/details/6033220-001","6033220-001")</f>
        <v>6033220-001</v>
      </c>
      <c r="B15782" s="10" t="s">
        <v>14979</v>
      </c>
    </row>
    <row r="15783" spans="1:2" x14ac:dyDescent="0.3">
      <c r="A15783" s="7" t="str">
        <f>HYPERLINK("http://www.eatonpowersource.com/products/details/6033984-002","6033984-002")</f>
        <v>6033984-002</v>
      </c>
      <c r="B15783" s="8" t="s">
        <v>14659</v>
      </c>
    </row>
    <row r="15784" spans="1:2" x14ac:dyDescent="0.3">
      <c r="A15784" s="9" t="str">
        <f>HYPERLINK("http://www.eatonpowersource.com/products/details/6034251-038","6034251-038")</f>
        <v>6034251-038</v>
      </c>
      <c r="B15784" s="10" t="s">
        <v>14980</v>
      </c>
    </row>
    <row r="15785" spans="1:2" x14ac:dyDescent="0.3">
      <c r="A15785" s="7" t="str">
        <f>HYPERLINK("http://www.eatonpowersource.com/products/details/6035826-001","6035826-001")</f>
        <v>6035826-001</v>
      </c>
      <c r="B15785" s="8" t="s">
        <v>14981</v>
      </c>
    </row>
    <row r="15786" spans="1:2" x14ac:dyDescent="0.3">
      <c r="A15786" s="9" t="str">
        <f>HYPERLINK("http://www.eatonpowersource.com/products/details/6037358-001","6037358-001")</f>
        <v>6037358-001</v>
      </c>
      <c r="B15786" s="10" t="s">
        <v>14982</v>
      </c>
    </row>
    <row r="15787" spans="1:2" x14ac:dyDescent="0.3">
      <c r="A15787" s="7" t="str">
        <f>HYPERLINK("http://www.eatonpowersource.com/products/details/6041347-007","6041347-007")</f>
        <v>6041347-007</v>
      </c>
      <c r="B15787" s="8" t="s">
        <v>14983</v>
      </c>
    </row>
    <row r="15788" spans="1:2" x14ac:dyDescent="0.3">
      <c r="A15788" s="9" t="str">
        <f>HYPERLINK("http://www.eatonpowersource.com/products/details/6041349-005","6041349-005")</f>
        <v>6041349-005</v>
      </c>
      <c r="B15788" s="10" t="s">
        <v>14984</v>
      </c>
    </row>
    <row r="15789" spans="1:2" x14ac:dyDescent="0.3">
      <c r="A15789" s="7" t="str">
        <f>HYPERLINK("http://www.eatonpowersource.com/products/details/6041349-007","6041349-007")</f>
        <v>6041349-007</v>
      </c>
      <c r="B15789" s="8" t="s">
        <v>14985</v>
      </c>
    </row>
    <row r="15790" spans="1:2" x14ac:dyDescent="0.3">
      <c r="A15790" s="9" t="str">
        <f>HYPERLINK("http://www.eatonpowersource.com/products/details/6044757-001","6044757-001")</f>
        <v>6044757-001</v>
      </c>
      <c r="B15790" s="10" t="s">
        <v>14986</v>
      </c>
    </row>
    <row r="15791" spans="1:2" x14ac:dyDescent="0.3">
      <c r="A15791" s="7" t="str">
        <f>HYPERLINK("http://www.eatonpowersource.com/products/details/60524-000","60524-000")</f>
        <v>60524-000</v>
      </c>
      <c r="B15791" s="8" t="s">
        <v>14698</v>
      </c>
    </row>
    <row r="15792" spans="1:2" x14ac:dyDescent="0.3">
      <c r="A15792" s="9" t="str">
        <f>HYPERLINK("http://www.eatonpowersource.com/products/details/60532-000","60532-000")</f>
        <v>60532-000</v>
      </c>
      <c r="B15792" s="10" t="s">
        <v>14987</v>
      </c>
    </row>
    <row r="15793" spans="1:2" x14ac:dyDescent="0.3">
      <c r="A15793" s="7" t="str">
        <f>HYPERLINK("http://www.eatonpowersource.com/products/details/60533-000","60533-000")</f>
        <v>60533-000</v>
      </c>
      <c r="B15793" s="8" t="s">
        <v>2797</v>
      </c>
    </row>
    <row r="15794" spans="1:2" x14ac:dyDescent="0.3">
      <c r="A15794" s="9" t="str">
        <f>HYPERLINK("http://www.eatonpowersource.com/products/details/60539-000","60539-000")</f>
        <v>60539-000</v>
      </c>
      <c r="B15794" s="10" t="s">
        <v>2797</v>
      </c>
    </row>
    <row r="15795" spans="1:2" x14ac:dyDescent="0.3">
      <c r="A15795" s="7" t="str">
        <f>HYPERLINK("http://www.eatonpowersource.com/products/details/60540-000","60540-000")</f>
        <v>60540-000</v>
      </c>
      <c r="B15795" s="8" t="s">
        <v>2797</v>
      </c>
    </row>
    <row r="15796" spans="1:2" x14ac:dyDescent="0.3">
      <c r="A15796" s="9" t="str">
        <f>HYPERLINK("http://www.eatonpowersource.com/products/details/60542-000","60542-000")</f>
        <v>60542-000</v>
      </c>
      <c r="B15796" s="10" t="s">
        <v>14988</v>
      </c>
    </row>
    <row r="15797" spans="1:2" x14ac:dyDescent="0.3">
      <c r="A15797" s="7" t="str">
        <f>HYPERLINK("http://www.eatonpowersource.com/products/details/60545-000","60545-000")</f>
        <v>60545-000</v>
      </c>
      <c r="B15797" s="8" t="s">
        <v>14989</v>
      </c>
    </row>
    <row r="15798" spans="1:2" x14ac:dyDescent="0.3">
      <c r="A15798" s="9" t="str">
        <f>HYPERLINK("http://www.eatonpowersource.com/products/details/60546-000","60546-000")</f>
        <v>60546-000</v>
      </c>
      <c r="B15798" s="10" t="s">
        <v>14989</v>
      </c>
    </row>
    <row r="15799" spans="1:2" x14ac:dyDescent="0.3">
      <c r="A15799" s="7" t="str">
        <f>HYPERLINK("http://www.eatonpowersource.com/products/details/60547-000","60547-000")</f>
        <v>60547-000</v>
      </c>
      <c r="B15799" s="8" t="s">
        <v>14990</v>
      </c>
    </row>
    <row r="15800" spans="1:2" x14ac:dyDescent="0.3">
      <c r="A15800" s="9" t="str">
        <f>HYPERLINK("http://www.eatonpowersource.com/products/details/60549-000","60549-000")</f>
        <v>60549-000</v>
      </c>
      <c r="B15800" s="10" t="s">
        <v>14991</v>
      </c>
    </row>
    <row r="15801" spans="1:2" x14ac:dyDescent="0.3">
      <c r="A15801" s="7" t="str">
        <f>HYPERLINK("http://www.eatonpowersource.com/products/details/60553-000","60553-000")</f>
        <v>60553-000</v>
      </c>
      <c r="B15801" s="8" t="s">
        <v>14992</v>
      </c>
    </row>
    <row r="15802" spans="1:2" x14ac:dyDescent="0.3">
      <c r="A15802" s="9" t="str">
        <f>HYPERLINK("http://www.eatonpowersource.com/products/details/60555-000","60555-000")</f>
        <v>60555-000</v>
      </c>
      <c r="B15802" s="10" t="s">
        <v>14993</v>
      </c>
    </row>
    <row r="15803" spans="1:2" x14ac:dyDescent="0.3">
      <c r="A15803" s="7" t="str">
        <f>HYPERLINK("http://www.eatonpowersource.com/products/details/60561-000","60561-000")</f>
        <v>60561-000</v>
      </c>
      <c r="B15803" s="8" t="s">
        <v>14994</v>
      </c>
    </row>
    <row r="15804" spans="1:2" x14ac:dyDescent="0.3">
      <c r="A15804" s="9" t="str">
        <f>HYPERLINK("http://www.eatonpowersource.com/products/details/60562-000","60562-000")</f>
        <v>60562-000</v>
      </c>
      <c r="B15804" s="10" t="s">
        <v>14995</v>
      </c>
    </row>
    <row r="15805" spans="1:2" x14ac:dyDescent="0.3">
      <c r="A15805" s="7" t="str">
        <f>HYPERLINK("http://www.eatonpowersource.com/products/details/60563-000","60563-000")</f>
        <v>60563-000</v>
      </c>
      <c r="B15805" s="8" t="s">
        <v>14996</v>
      </c>
    </row>
    <row r="15806" spans="1:2" x14ac:dyDescent="0.3">
      <c r="A15806" s="9" t="str">
        <f>HYPERLINK("http://www.eatonpowersource.com/products/details/60564-000","60564-000")</f>
        <v>60564-000</v>
      </c>
      <c r="B15806" s="10" t="s">
        <v>14997</v>
      </c>
    </row>
    <row r="15807" spans="1:2" x14ac:dyDescent="0.3">
      <c r="A15807" s="7" t="str">
        <f>HYPERLINK("http://www.eatonpowersource.com/products/details/60565-000","60565-000")</f>
        <v>60565-000</v>
      </c>
      <c r="B15807" s="8" t="s">
        <v>14997</v>
      </c>
    </row>
    <row r="15808" spans="1:2" x14ac:dyDescent="0.3">
      <c r="A15808" s="9" t="str">
        <f>HYPERLINK("http://www.eatonpowersource.com/products/details/60566-000","60566-000")</f>
        <v>60566-000</v>
      </c>
      <c r="B15808" s="10" t="s">
        <v>14997</v>
      </c>
    </row>
    <row r="15809" spans="1:2" x14ac:dyDescent="0.3">
      <c r="A15809" s="7" t="str">
        <f>HYPERLINK("http://www.eatonpowersource.com/products/details/60569-000","60569-000")</f>
        <v>60569-000</v>
      </c>
      <c r="B15809" s="8" t="s">
        <v>2797</v>
      </c>
    </row>
    <row r="15810" spans="1:2" x14ac:dyDescent="0.3">
      <c r="A15810" s="9" t="str">
        <f>HYPERLINK("http://www.eatonpowersource.com/products/details/60572-000","60572-000")</f>
        <v>60572-000</v>
      </c>
      <c r="B15810" s="10" t="s">
        <v>14998</v>
      </c>
    </row>
    <row r="15811" spans="1:2" x14ac:dyDescent="0.3">
      <c r="A15811" s="7" t="str">
        <f>HYPERLINK("http://www.eatonpowersource.com/products/details/60573-000","60573-000")</f>
        <v>60573-000</v>
      </c>
      <c r="B15811" s="8" t="s">
        <v>14999</v>
      </c>
    </row>
    <row r="15812" spans="1:2" x14ac:dyDescent="0.3">
      <c r="A15812" s="9" t="str">
        <f>HYPERLINK("http://www.eatonpowersource.com/products/details/60577-000","60577-000")</f>
        <v>60577-000</v>
      </c>
      <c r="B15812" s="10" t="s">
        <v>15000</v>
      </c>
    </row>
    <row r="15813" spans="1:2" x14ac:dyDescent="0.3">
      <c r="A15813" s="7" t="str">
        <f>HYPERLINK("http://www.eatonpowersource.com/products/details/60578-000","60578-000")</f>
        <v>60578-000</v>
      </c>
      <c r="B15813" s="8" t="s">
        <v>15001</v>
      </c>
    </row>
    <row r="15814" spans="1:2" x14ac:dyDescent="0.3">
      <c r="A15814" s="9" t="str">
        <f>HYPERLINK("http://www.eatonpowersource.com/products/details/60579-000","60579-000")</f>
        <v>60579-000</v>
      </c>
      <c r="B15814" s="10" t="s">
        <v>15001</v>
      </c>
    </row>
    <row r="15815" spans="1:2" x14ac:dyDescent="0.3">
      <c r="A15815" s="7" t="str">
        <f>HYPERLINK("http://www.eatonpowersource.com/products/details/60580-000","60580-000")</f>
        <v>60580-000</v>
      </c>
      <c r="B15815" s="8" t="s">
        <v>2797</v>
      </c>
    </row>
    <row r="15816" spans="1:2" x14ac:dyDescent="0.3">
      <c r="A15816" s="9" t="str">
        <f>HYPERLINK("http://www.eatonpowersource.com/products/details/60582-000","60582-000")</f>
        <v>60582-000</v>
      </c>
      <c r="B15816" s="10" t="s">
        <v>15002</v>
      </c>
    </row>
    <row r="15817" spans="1:2" x14ac:dyDescent="0.3">
      <c r="A15817" s="7" t="str">
        <f>HYPERLINK("http://www.eatonpowersource.com/products/details/61002-000","61002-000")</f>
        <v>61002-000</v>
      </c>
      <c r="B15817" s="8" t="s">
        <v>15003</v>
      </c>
    </row>
    <row r="15818" spans="1:2" x14ac:dyDescent="0.3">
      <c r="A15818" s="9" t="str">
        <f>HYPERLINK("http://www.eatonpowersource.com/products/details/61004-000","61004-000")</f>
        <v>61004-000</v>
      </c>
      <c r="B15818" s="10" t="s">
        <v>15004</v>
      </c>
    </row>
    <row r="15819" spans="1:2" x14ac:dyDescent="0.3">
      <c r="A15819" s="7" t="str">
        <f>HYPERLINK("http://www.eatonpowersource.com/products/details/61104-000","61104-000")</f>
        <v>61104-000</v>
      </c>
      <c r="B15819" s="8" t="s">
        <v>15005</v>
      </c>
    </row>
    <row r="15820" spans="1:2" x14ac:dyDescent="0.3">
      <c r="A15820" s="9" t="str">
        <f>HYPERLINK("http://www.eatonpowersource.com/products/details/61105-000","61105-000")</f>
        <v>61105-000</v>
      </c>
      <c r="B15820" s="10" t="s">
        <v>15006</v>
      </c>
    </row>
    <row r="15821" spans="1:2" x14ac:dyDescent="0.3">
      <c r="A15821" s="7" t="str">
        <f>HYPERLINK("http://www.eatonpowersource.com/products/details/61202-000","61202-000")</f>
        <v>61202-000</v>
      </c>
      <c r="B15821" s="8" t="s">
        <v>15007</v>
      </c>
    </row>
    <row r="15822" spans="1:2" x14ac:dyDescent="0.3">
      <c r="A15822" s="9" t="str">
        <f>HYPERLINK("http://www.eatonpowersource.com/products/details/61232-000","61232-000")</f>
        <v>61232-000</v>
      </c>
      <c r="B15822" s="10" t="s">
        <v>15008</v>
      </c>
    </row>
    <row r="15823" spans="1:2" x14ac:dyDescent="0.3">
      <c r="A15823" s="7" t="str">
        <f>HYPERLINK("http://www.eatonpowersource.com/products/details/61233-000","61233-000")</f>
        <v>61233-000</v>
      </c>
      <c r="B15823" s="8" t="s">
        <v>15009</v>
      </c>
    </row>
    <row r="15824" spans="1:2" x14ac:dyDescent="0.3">
      <c r="A15824" s="9" t="str">
        <f>HYPERLINK("http://www.eatonpowersource.com/products/details/61234-000","61234-000")</f>
        <v>61234-000</v>
      </c>
      <c r="B15824" s="10" t="s">
        <v>15003</v>
      </c>
    </row>
    <row r="15825" spans="1:2" x14ac:dyDescent="0.3">
      <c r="A15825" s="7" t="str">
        <f>HYPERLINK("http://www.eatonpowersource.com/products/details/61235-000","61235-000")</f>
        <v>61235-000</v>
      </c>
      <c r="B15825" s="8" t="s">
        <v>15008</v>
      </c>
    </row>
    <row r="15826" spans="1:2" x14ac:dyDescent="0.3">
      <c r="A15826" s="9" t="str">
        <f>HYPERLINK("http://www.eatonpowersource.com/products/details/61236-000","61236-000")</f>
        <v>61236-000</v>
      </c>
      <c r="B15826" s="10" t="s">
        <v>15010</v>
      </c>
    </row>
    <row r="15827" spans="1:2" x14ac:dyDescent="0.3">
      <c r="A15827" s="7" t="str">
        <f>HYPERLINK("http://www.eatonpowersource.com/products/details/61237-000","61237-000")</f>
        <v>61237-000</v>
      </c>
      <c r="B15827" s="8" t="s">
        <v>15011</v>
      </c>
    </row>
    <row r="15828" spans="1:2" x14ac:dyDescent="0.3">
      <c r="A15828" s="9" t="str">
        <f>HYPERLINK("http://www.eatonpowersource.com/products/details/61238-000","61238-000")</f>
        <v>61238-000</v>
      </c>
      <c r="B15828" s="10" t="s">
        <v>15012</v>
      </c>
    </row>
    <row r="15829" spans="1:2" x14ac:dyDescent="0.3">
      <c r="A15829" s="7" t="str">
        <f>HYPERLINK("http://www.eatonpowersource.com/products/details/61239-000","61239-000")</f>
        <v>61239-000</v>
      </c>
      <c r="B15829" s="8" t="s">
        <v>15013</v>
      </c>
    </row>
    <row r="15830" spans="1:2" x14ac:dyDescent="0.3">
      <c r="A15830" s="9" t="str">
        <f>HYPERLINK("http://www.eatonpowersource.com/products/details/61246-000","61246-000")</f>
        <v>61246-000</v>
      </c>
      <c r="B15830" s="10" t="s">
        <v>15014</v>
      </c>
    </row>
    <row r="15831" spans="1:2" x14ac:dyDescent="0.3">
      <c r="A15831" s="7" t="str">
        <f>HYPERLINK("http://www.eatonpowersource.com/products/details/61248-000","61248-000")</f>
        <v>61248-000</v>
      </c>
      <c r="B15831" s="8" t="s">
        <v>15015</v>
      </c>
    </row>
    <row r="15832" spans="1:2" x14ac:dyDescent="0.3">
      <c r="A15832" s="9" t="str">
        <f>HYPERLINK("http://www.eatonpowersource.com/products/details/61250-000","61250-000")</f>
        <v>61250-000</v>
      </c>
      <c r="B15832" s="10" t="s">
        <v>15016</v>
      </c>
    </row>
    <row r="15833" spans="1:2" x14ac:dyDescent="0.3">
      <c r="A15833" s="7" t="str">
        <f>HYPERLINK("http://www.eatonpowersource.com/products/details/61252-000","61252-000")</f>
        <v>61252-000</v>
      </c>
      <c r="B15833" s="8" t="s">
        <v>15017</v>
      </c>
    </row>
    <row r="15834" spans="1:2" x14ac:dyDescent="0.3">
      <c r="A15834" s="9" t="str">
        <f>HYPERLINK("http://www.eatonpowersource.com/products/details/61253-000","61253-000")</f>
        <v>61253-000</v>
      </c>
      <c r="B15834" s="10" t="s">
        <v>15013</v>
      </c>
    </row>
    <row r="15835" spans="1:2" x14ac:dyDescent="0.3">
      <c r="A15835" s="7" t="str">
        <f>HYPERLINK("http://www.eatonpowersource.com/products/details/61258-000","61258-000")</f>
        <v>61258-000</v>
      </c>
      <c r="B15835" s="8" t="s">
        <v>15018</v>
      </c>
    </row>
    <row r="15836" spans="1:2" x14ac:dyDescent="0.3">
      <c r="A15836" s="9" t="str">
        <f>HYPERLINK("http://www.eatonpowersource.com/products/details/61259-000","61259-000")</f>
        <v>61259-000</v>
      </c>
      <c r="B15836" s="10" t="s">
        <v>15018</v>
      </c>
    </row>
    <row r="15837" spans="1:2" x14ac:dyDescent="0.3">
      <c r="A15837" s="7" t="str">
        <f>HYPERLINK("http://www.eatonpowersource.com/products/details/61263-000","61263-000")</f>
        <v>61263-000</v>
      </c>
      <c r="B15837" s="8" t="s">
        <v>15019</v>
      </c>
    </row>
    <row r="15838" spans="1:2" x14ac:dyDescent="0.3">
      <c r="A15838" s="9" t="str">
        <f>HYPERLINK("http://www.eatonpowersource.com/products/details/61266-000","61266-000")</f>
        <v>61266-000</v>
      </c>
      <c r="B15838" s="10" t="s">
        <v>15020</v>
      </c>
    </row>
    <row r="15839" spans="1:2" x14ac:dyDescent="0.3">
      <c r="A15839" s="7" t="str">
        <f>HYPERLINK("http://www.eatonpowersource.com/products/details/61267-000","61267-000")</f>
        <v>61267-000</v>
      </c>
      <c r="B15839" s="8" t="s">
        <v>15021</v>
      </c>
    </row>
    <row r="15840" spans="1:2" x14ac:dyDescent="0.3">
      <c r="A15840" s="9" t="str">
        <f>HYPERLINK("http://www.eatonpowersource.com/products/details/61274-000","61274-000")</f>
        <v>61274-000</v>
      </c>
      <c r="B15840" s="10" t="s">
        <v>15022</v>
      </c>
    </row>
    <row r="15841" spans="1:2" x14ac:dyDescent="0.3">
      <c r="A15841" s="7" t="str">
        <f>HYPERLINK("http://www.eatonpowersource.com/products/details/61276-000","61276-000")</f>
        <v>61276-000</v>
      </c>
      <c r="B15841" s="8" t="s">
        <v>15023</v>
      </c>
    </row>
    <row r="15842" spans="1:2" x14ac:dyDescent="0.3">
      <c r="A15842" s="9" t="str">
        <f>HYPERLINK("http://www.eatonpowersource.com/products/details/61281-000","61281-000")</f>
        <v>61281-000</v>
      </c>
      <c r="B15842" s="10" t="s">
        <v>15024</v>
      </c>
    </row>
    <row r="15843" spans="1:2" x14ac:dyDescent="0.3">
      <c r="A15843" s="7" t="str">
        <f>HYPERLINK("http://www.eatonpowersource.com/products/details/61282-000","61282-000")</f>
        <v>61282-000</v>
      </c>
      <c r="B15843" s="8" t="s">
        <v>15025</v>
      </c>
    </row>
    <row r="15844" spans="1:2" x14ac:dyDescent="0.3">
      <c r="A15844" s="9" t="str">
        <f>HYPERLINK("http://www.eatonpowersource.com/products/details/61285-000","61285-000")</f>
        <v>61285-000</v>
      </c>
      <c r="B15844" s="10" t="s">
        <v>15026</v>
      </c>
    </row>
    <row r="15845" spans="1:2" x14ac:dyDescent="0.3">
      <c r="A15845" s="7" t="str">
        <f>HYPERLINK("http://www.eatonpowersource.com/products/details/61289-000","61289-000")</f>
        <v>61289-000</v>
      </c>
      <c r="B15845" s="8" t="s">
        <v>15027</v>
      </c>
    </row>
    <row r="15846" spans="1:2" x14ac:dyDescent="0.3">
      <c r="A15846" s="9" t="str">
        <f>HYPERLINK("http://www.eatonpowersource.com/products/details/61290-000","61290-000")</f>
        <v>61290-000</v>
      </c>
      <c r="B15846" s="10" t="s">
        <v>15028</v>
      </c>
    </row>
    <row r="15847" spans="1:2" x14ac:dyDescent="0.3">
      <c r="A15847" s="7" t="str">
        <f>HYPERLINK("http://www.eatonpowersource.com/products/details/61291-000","61291-000")</f>
        <v>61291-000</v>
      </c>
      <c r="B15847" s="8" t="s">
        <v>15029</v>
      </c>
    </row>
    <row r="15848" spans="1:2" x14ac:dyDescent="0.3">
      <c r="A15848" s="9" t="str">
        <f>HYPERLINK("http://www.eatonpowersource.com/products/details/61293-000","61293-000")</f>
        <v>61293-000</v>
      </c>
      <c r="B15848" s="10" t="s">
        <v>15030</v>
      </c>
    </row>
    <row r="15849" spans="1:2" x14ac:dyDescent="0.3">
      <c r="A15849" s="7" t="str">
        <f>HYPERLINK("http://www.eatonpowersource.com/products/details/61294-000","61294-000")</f>
        <v>61294-000</v>
      </c>
      <c r="B15849" s="8" t="s">
        <v>15031</v>
      </c>
    </row>
    <row r="15850" spans="1:2" x14ac:dyDescent="0.3">
      <c r="A15850" s="9" t="str">
        <f>HYPERLINK("http://www.eatonpowersource.com/products/details/61295-000","61295-000")</f>
        <v>61295-000</v>
      </c>
      <c r="B15850" s="10" t="s">
        <v>15032</v>
      </c>
    </row>
    <row r="15851" spans="1:2" x14ac:dyDescent="0.3">
      <c r="A15851" s="7" t="str">
        <f>HYPERLINK("http://www.eatonpowersource.com/products/details/613-0205-001","613-0205-001")</f>
        <v>613-0205-001</v>
      </c>
      <c r="B15851" s="8" t="s">
        <v>15033</v>
      </c>
    </row>
    <row r="15852" spans="1:2" x14ac:dyDescent="0.3">
      <c r="A15852" s="9" t="str">
        <f>HYPERLINK("http://www.eatonpowersource.com/products/details/61303-000","61303-000")</f>
        <v>61303-000</v>
      </c>
      <c r="B15852" s="10" t="s">
        <v>15013</v>
      </c>
    </row>
    <row r="15853" spans="1:2" x14ac:dyDescent="0.3">
      <c r="A15853" s="7" t="str">
        <f>HYPERLINK("http://www.eatonpowersource.com/products/details/61314-000","61314-000")</f>
        <v>61314-000</v>
      </c>
      <c r="B15853" s="8" t="s">
        <v>15034</v>
      </c>
    </row>
    <row r="15854" spans="1:2" x14ac:dyDescent="0.3">
      <c r="A15854" s="9" t="str">
        <f>HYPERLINK("http://www.eatonpowersource.com/products/details/61315-000","61315-000")</f>
        <v>61315-000</v>
      </c>
      <c r="B15854" s="10" t="s">
        <v>15035</v>
      </c>
    </row>
    <row r="15855" spans="1:2" x14ac:dyDescent="0.3">
      <c r="A15855" s="7" t="str">
        <f>HYPERLINK("http://www.eatonpowersource.com/products/details/61326-000","61326-000")</f>
        <v>61326-000</v>
      </c>
      <c r="B15855" s="8" t="s">
        <v>15036</v>
      </c>
    </row>
    <row r="15856" spans="1:2" x14ac:dyDescent="0.3">
      <c r="A15856" s="9" t="str">
        <f>HYPERLINK("http://www.eatonpowersource.com/products/details/61327-000","61327-000")</f>
        <v>61327-000</v>
      </c>
      <c r="B15856" s="10" t="s">
        <v>15037</v>
      </c>
    </row>
    <row r="15857" spans="1:2" x14ac:dyDescent="0.3">
      <c r="A15857" s="7" t="str">
        <f>HYPERLINK("http://www.eatonpowersource.com/products/details/61328-000","61328-000")</f>
        <v>61328-000</v>
      </c>
      <c r="B15857" s="8" t="s">
        <v>15038</v>
      </c>
    </row>
    <row r="15858" spans="1:2" x14ac:dyDescent="0.3">
      <c r="A15858" s="9" t="str">
        <f>HYPERLINK("http://www.eatonpowersource.com/products/details/61329-000","61329-000")</f>
        <v>61329-000</v>
      </c>
      <c r="B15858" s="10" t="s">
        <v>15039</v>
      </c>
    </row>
    <row r="15859" spans="1:2" x14ac:dyDescent="0.3">
      <c r="A15859" s="7" t="str">
        <f>HYPERLINK("http://www.eatonpowersource.com/products/details/61333-000","61333-000")</f>
        <v>61333-000</v>
      </c>
      <c r="B15859" s="8" t="s">
        <v>15040</v>
      </c>
    </row>
    <row r="15860" spans="1:2" x14ac:dyDescent="0.3">
      <c r="A15860" s="9" t="str">
        <f>HYPERLINK("http://www.eatonpowersource.com/products/details/61334-000","61334-000")</f>
        <v>61334-000</v>
      </c>
      <c r="B15860" s="10" t="s">
        <v>15040</v>
      </c>
    </row>
    <row r="15861" spans="1:2" x14ac:dyDescent="0.3">
      <c r="A15861" s="7" t="str">
        <f>HYPERLINK("http://www.eatonpowersource.com/products/details/61335-000","61335-000")</f>
        <v>61335-000</v>
      </c>
      <c r="B15861" s="8" t="s">
        <v>15040</v>
      </c>
    </row>
    <row r="15862" spans="1:2" x14ac:dyDescent="0.3">
      <c r="A15862" s="9" t="str">
        <f>HYPERLINK("http://www.eatonpowersource.com/products/details/61337-000","61337-000")</f>
        <v>61337-000</v>
      </c>
      <c r="B15862" s="10" t="s">
        <v>15040</v>
      </c>
    </row>
    <row r="15863" spans="1:2" x14ac:dyDescent="0.3">
      <c r="A15863" s="7" t="str">
        <f>HYPERLINK("http://www.eatonpowersource.com/products/details/61338-000","61338-000")</f>
        <v>61338-000</v>
      </c>
      <c r="B15863" s="8" t="s">
        <v>15036</v>
      </c>
    </row>
    <row r="15864" spans="1:2" x14ac:dyDescent="0.3">
      <c r="A15864" s="9" t="str">
        <f>HYPERLINK("http://www.eatonpowersource.com/products/details/61352-000","61352-000")</f>
        <v>61352-000</v>
      </c>
      <c r="B15864" s="10" t="s">
        <v>15041</v>
      </c>
    </row>
    <row r="15865" spans="1:2" x14ac:dyDescent="0.3">
      <c r="A15865" s="7" t="str">
        <f>HYPERLINK("http://www.eatonpowersource.com/products/details/61353-000","61353-000")</f>
        <v>61353-000</v>
      </c>
      <c r="B15865" s="8" t="s">
        <v>15040</v>
      </c>
    </row>
    <row r="15866" spans="1:2" x14ac:dyDescent="0.3">
      <c r="A15866" s="9" t="str">
        <f>HYPERLINK("http://www.eatonpowersource.com/products/details/61357-000","61357-000")</f>
        <v>61357-000</v>
      </c>
      <c r="B15866" s="10" t="s">
        <v>15042</v>
      </c>
    </row>
    <row r="15867" spans="1:2" x14ac:dyDescent="0.3">
      <c r="A15867" s="7" t="str">
        <f>HYPERLINK("http://www.eatonpowersource.com/products/details/61358-000","61358-000")</f>
        <v>61358-000</v>
      </c>
      <c r="B15867" s="8" t="s">
        <v>15043</v>
      </c>
    </row>
    <row r="15868" spans="1:2" x14ac:dyDescent="0.3">
      <c r="A15868" s="9" t="str">
        <f>HYPERLINK("http://www.eatonpowersource.com/products/details/61361-000","61361-000")</f>
        <v>61361-000</v>
      </c>
      <c r="B15868" s="10" t="s">
        <v>15044</v>
      </c>
    </row>
    <row r="15869" spans="1:2" x14ac:dyDescent="0.3">
      <c r="A15869" s="7" t="str">
        <f>HYPERLINK("http://www.eatonpowersource.com/products/details/616-000","616-000")</f>
        <v>616-000</v>
      </c>
      <c r="B15869" s="8" t="s">
        <v>14505</v>
      </c>
    </row>
    <row r="15870" spans="1:2" x14ac:dyDescent="0.3">
      <c r="A15870" s="9" t="str">
        <f>HYPERLINK("http://www.eatonpowersource.com/products/details/6167-000","6167-000")</f>
        <v>6167-000</v>
      </c>
      <c r="B15870" s="10" t="s">
        <v>15045</v>
      </c>
    </row>
    <row r="15871" spans="1:2" x14ac:dyDescent="0.3">
      <c r="A15871" s="7" t="str">
        <f>HYPERLINK("http://www.eatonpowersource.com/products/details/6168-000","6168-000")</f>
        <v>6168-000</v>
      </c>
      <c r="B15871" s="8" t="s">
        <v>15046</v>
      </c>
    </row>
    <row r="15872" spans="1:2" x14ac:dyDescent="0.3">
      <c r="A15872" s="9" t="str">
        <f>HYPERLINK("http://www.eatonpowersource.com/products/details/6175-000","6175-000")</f>
        <v>6175-000</v>
      </c>
      <c r="B15872" s="10" t="s">
        <v>15047</v>
      </c>
    </row>
    <row r="15873" spans="1:2" x14ac:dyDescent="0.3">
      <c r="A15873" s="7" t="str">
        <f>HYPERLINK("http://www.eatonpowersource.com/products/details/6181-000","6181-000")</f>
        <v>6181-000</v>
      </c>
      <c r="B15873" s="8" t="s">
        <v>15047</v>
      </c>
    </row>
    <row r="15874" spans="1:2" x14ac:dyDescent="0.3">
      <c r="A15874" s="9" t="str">
        <f>HYPERLINK("http://www.eatonpowersource.com/products/details/62006-000","62006-000")</f>
        <v>62006-000</v>
      </c>
      <c r="B15874" s="10" t="s">
        <v>15048</v>
      </c>
    </row>
    <row r="15875" spans="1:2" x14ac:dyDescent="0.3">
      <c r="A15875" s="7" t="str">
        <f>HYPERLINK("http://www.eatonpowersource.com/products/details/62008-000","62008-000")</f>
        <v>62008-000</v>
      </c>
      <c r="B15875" s="8" t="s">
        <v>15049</v>
      </c>
    </row>
    <row r="15876" spans="1:2" x14ac:dyDescent="0.3">
      <c r="A15876" s="9" t="str">
        <f>HYPERLINK("http://www.eatonpowersource.com/products/details/6203-000","6203-000")</f>
        <v>6203-000</v>
      </c>
      <c r="B15876" s="10" t="s">
        <v>14787</v>
      </c>
    </row>
    <row r="15877" spans="1:2" x14ac:dyDescent="0.3">
      <c r="A15877" s="7" t="str">
        <f>HYPERLINK("http://www.eatonpowersource.com/products/details/62184-000","62184-000")</f>
        <v>62184-000</v>
      </c>
      <c r="B15877" s="8" t="s">
        <v>15050</v>
      </c>
    </row>
    <row r="15878" spans="1:2" x14ac:dyDescent="0.3">
      <c r="A15878" s="9" t="str">
        <f>HYPERLINK("http://www.eatonpowersource.com/products/details/6221-000","6221-000")</f>
        <v>6221-000</v>
      </c>
      <c r="B15878" s="10" t="s">
        <v>15045</v>
      </c>
    </row>
    <row r="15879" spans="1:2" x14ac:dyDescent="0.3">
      <c r="A15879" s="7" t="str">
        <f>HYPERLINK("http://www.eatonpowersource.com/products/details/62240-000","62240-000")</f>
        <v>62240-000</v>
      </c>
      <c r="B15879" s="8" t="s">
        <v>15051</v>
      </c>
    </row>
    <row r="15880" spans="1:2" x14ac:dyDescent="0.3">
      <c r="A15880" s="9" t="str">
        <f>HYPERLINK("http://www.eatonpowersource.com/products/details/62505-000","62505-000")</f>
        <v>62505-000</v>
      </c>
      <c r="B15880" s="10" t="s">
        <v>15052</v>
      </c>
    </row>
    <row r="15881" spans="1:2" x14ac:dyDescent="0.3">
      <c r="A15881" s="7" t="str">
        <f>HYPERLINK("http://www.eatonpowersource.com/products/details/62506-000","62506-000")</f>
        <v>62506-000</v>
      </c>
      <c r="B15881" s="8" t="s">
        <v>15052</v>
      </c>
    </row>
    <row r="15882" spans="1:2" x14ac:dyDescent="0.3">
      <c r="A15882" s="9" t="str">
        <f>HYPERLINK("http://www.eatonpowersource.com/products/details/62508-000","62508-000")</f>
        <v>62508-000</v>
      </c>
      <c r="B15882" s="10" t="s">
        <v>15053</v>
      </c>
    </row>
    <row r="15883" spans="1:2" x14ac:dyDescent="0.3">
      <c r="A15883" s="7" t="str">
        <f>HYPERLINK("http://www.eatonpowersource.com/products/details/62512-000","62512-000")</f>
        <v>62512-000</v>
      </c>
      <c r="B15883" s="8" t="s">
        <v>15054</v>
      </c>
    </row>
    <row r="15884" spans="1:2" x14ac:dyDescent="0.3">
      <c r="A15884" s="9" t="str">
        <f>HYPERLINK("http://www.eatonpowersource.com/products/details/629ag00347a","629AG00347A")</f>
        <v>629AG00347A</v>
      </c>
      <c r="B15884" s="10" t="s">
        <v>15055</v>
      </c>
    </row>
    <row r="15885" spans="1:2" x14ac:dyDescent="0.3">
      <c r="A15885" s="7" t="str">
        <f>HYPERLINK("http://www.eatonpowersource.com/products/details/6340-000","6340-000")</f>
        <v>6340-000</v>
      </c>
      <c r="B15885" s="8" t="s">
        <v>15056</v>
      </c>
    </row>
    <row r="15886" spans="1:2" x14ac:dyDescent="0.3">
      <c r="A15886" s="9" t="str">
        <f>HYPERLINK("http://www.eatonpowersource.com/products/details/6395-000","6395-000")</f>
        <v>6395-000</v>
      </c>
      <c r="B15886" s="10" t="s">
        <v>15045</v>
      </c>
    </row>
    <row r="15887" spans="1:2" x14ac:dyDescent="0.3">
      <c r="A15887" s="7" t="str">
        <f>HYPERLINK("http://www.eatonpowersource.com/products/details/64009-000","64009-000")</f>
        <v>64009-000</v>
      </c>
      <c r="B15887" s="8" t="s">
        <v>15057</v>
      </c>
    </row>
    <row r="15888" spans="1:2" x14ac:dyDescent="0.3">
      <c r="A15888" s="9" t="str">
        <f>HYPERLINK("http://www.eatonpowersource.com/products/details/6405-000","6405-000")</f>
        <v>6405-000</v>
      </c>
      <c r="B15888" s="10" t="s">
        <v>15058</v>
      </c>
    </row>
    <row r="15889" spans="1:2" x14ac:dyDescent="0.3">
      <c r="A15889" s="7" t="str">
        <f>HYPERLINK("http://www.eatonpowersource.com/products/details/6406-000","6406-000")</f>
        <v>6406-000</v>
      </c>
      <c r="B15889" s="8" t="s">
        <v>15059</v>
      </c>
    </row>
    <row r="15890" spans="1:2" x14ac:dyDescent="0.3">
      <c r="A15890" s="9" t="str">
        <f>HYPERLINK("http://www.eatonpowersource.com/products/details/64417-000","64417-000")</f>
        <v>64417-000</v>
      </c>
      <c r="B15890" s="10" t="s">
        <v>15060</v>
      </c>
    </row>
    <row r="15891" spans="1:2" x14ac:dyDescent="0.3">
      <c r="A15891" s="7" t="str">
        <f>HYPERLINK("http://www.eatonpowersource.com/products/details/64418-000","64418-000")</f>
        <v>64418-000</v>
      </c>
      <c r="B15891" s="8" t="s">
        <v>15061</v>
      </c>
    </row>
    <row r="15892" spans="1:2" x14ac:dyDescent="0.3">
      <c r="A15892" s="9" t="str">
        <f>HYPERLINK("http://www.eatonpowersource.com/products/details/64426-000","64426-000")</f>
        <v>64426-000</v>
      </c>
      <c r="B15892" s="10" t="s">
        <v>15062</v>
      </c>
    </row>
    <row r="15893" spans="1:2" x14ac:dyDescent="0.3">
      <c r="A15893" s="7" t="str">
        <f>HYPERLINK("http://www.eatonpowersource.com/products/details/64428-001","64428-001")</f>
        <v>64428-001</v>
      </c>
      <c r="B15893" s="8" t="s">
        <v>15063</v>
      </c>
    </row>
    <row r="15894" spans="1:2" x14ac:dyDescent="0.3">
      <c r="A15894" s="9" t="str">
        <f>HYPERLINK("http://www.eatonpowersource.com/products/details/64429-000","64429-000")</f>
        <v>64429-000</v>
      </c>
      <c r="B15894" s="10" t="s">
        <v>2797</v>
      </c>
    </row>
    <row r="15895" spans="1:2" x14ac:dyDescent="0.3">
      <c r="A15895" s="7" t="str">
        <f>HYPERLINK("http://www.eatonpowersource.com/products/details/64431-000","64431-000")</f>
        <v>64431-000</v>
      </c>
      <c r="B15895" s="8" t="s">
        <v>15064</v>
      </c>
    </row>
    <row r="15896" spans="1:2" x14ac:dyDescent="0.3">
      <c r="A15896" s="9" t="str">
        <f>HYPERLINK("http://www.eatonpowersource.com/products/details/64450-000","64450-000")</f>
        <v>64450-000</v>
      </c>
      <c r="B15896" s="10" t="s">
        <v>15065</v>
      </c>
    </row>
    <row r="15897" spans="1:2" x14ac:dyDescent="0.3">
      <c r="A15897" s="7" t="str">
        <f>HYPERLINK("http://www.eatonpowersource.com/products/details/64455-000","64455-000")</f>
        <v>64455-000</v>
      </c>
      <c r="B15897" s="8" t="s">
        <v>2797</v>
      </c>
    </row>
    <row r="15898" spans="1:2" x14ac:dyDescent="0.3">
      <c r="A15898" s="9" t="str">
        <f>HYPERLINK("http://www.eatonpowersource.com/products/details/64463-000","64463-000")</f>
        <v>64463-000</v>
      </c>
      <c r="B15898" s="10" t="s">
        <v>15066</v>
      </c>
    </row>
    <row r="15899" spans="1:2" x14ac:dyDescent="0.3">
      <c r="A15899" s="7" t="str">
        <f>HYPERLINK("http://www.eatonpowersource.com/products/details/64464-000","64464-000")</f>
        <v>64464-000</v>
      </c>
      <c r="B15899" s="8" t="s">
        <v>15067</v>
      </c>
    </row>
    <row r="15900" spans="1:2" x14ac:dyDescent="0.3">
      <c r="A15900" s="9" t="str">
        <f>HYPERLINK("http://www.eatonpowersource.com/products/details/64466-000","64466-000")</f>
        <v>64466-000</v>
      </c>
      <c r="B15900" s="10" t="s">
        <v>15068</v>
      </c>
    </row>
    <row r="15901" spans="1:2" x14ac:dyDescent="0.3">
      <c r="A15901" s="7" t="str">
        <f>HYPERLINK("http://www.eatonpowersource.com/products/details/64467-000","64467-000")</f>
        <v>64467-000</v>
      </c>
      <c r="B15901" s="8" t="s">
        <v>15069</v>
      </c>
    </row>
    <row r="15902" spans="1:2" x14ac:dyDescent="0.3">
      <c r="A15902" s="9" t="str">
        <f>HYPERLINK("http://www.eatonpowersource.com/products/details/64468-000","64468-000")</f>
        <v>64468-000</v>
      </c>
      <c r="B15902" s="10" t="s">
        <v>2797</v>
      </c>
    </row>
    <row r="15903" spans="1:2" x14ac:dyDescent="0.3">
      <c r="A15903" s="7" t="str">
        <f>HYPERLINK("http://www.eatonpowersource.com/products/details/64470-000","64470-000")</f>
        <v>64470-000</v>
      </c>
      <c r="B15903" s="8" t="s">
        <v>15070</v>
      </c>
    </row>
    <row r="15904" spans="1:2" x14ac:dyDescent="0.3">
      <c r="A15904" s="9" t="str">
        <f>HYPERLINK("http://www.eatonpowersource.com/products/details/64487-000","64487-000")</f>
        <v>64487-000</v>
      </c>
      <c r="B15904" s="10" t="s">
        <v>15071</v>
      </c>
    </row>
    <row r="15905" spans="1:2" x14ac:dyDescent="0.3">
      <c r="A15905" s="7" t="str">
        <f>HYPERLINK("http://www.eatonpowersource.com/products/details/64489-000","64489-000")</f>
        <v>64489-000</v>
      </c>
      <c r="B15905" s="8" t="s">
        <v>15072</v>
      </c>
    </row>
    <row r="15906" spans="1:2" x14ac:dyDescent="0.3">
      <c r="A15906" s="9" t="str">
        <f>HYPERLINK("http://www.eatonpowersource.com/products/details/64499-000","64499-000")</f>
        <v>64499-000</v>
      </c>
      <c r="B15906" s="10" t="s">
        <v>2797</v>
      </c>
    </row>
    <row r="15907" spans="1:2" x14ac:dyDescent="0.3">
      <c r="A15907" s="7" t="str">
        <f>HYPERLINK("http://www.eatonpowersource.com/products/details/64500-000","64500-000")</f>
        <v>64500-000</v>
      </c>
      <c r="B15907" s="8" t="s">
        <v>15073</v>
      </c>
    </row>
    <row r="15908" spans="1:2" x14ac:dyDescent="0.3">
      <c r="A15908" s="9" t="str">
        <f>HYPERLINK("http://www.eatonpowersource.com/products/details/64533-000","64533-000")</f>
        <v>64533-000</v>
      </c>
      <c r="B15908" s="10" t="s">
        <v>2797</v>
      </c>
    </row>
    <row r="15909" spans="1:2" x14ac:dyDescent="0.3">
      <c r="A15909" s="7" t="str">
        <f>HYPERLINK("http://www.eatonpowersource.com/products/details/64552-000","64552-000")</f>
        <v>64552-000</v>
      </c>
      <c r="B15909" s="8" t="s">
        <v>15074</v>
      </c>
    </row>
    <row r="15910" spans="1:2" x14ac:dyDescent="0.3">
      <c r="A15910" s="9" t="str">
        <f>HYPERLINK("http://www.eatonpowersource.com/products/details/64555-000","64555-000")</f>
        <v>64555-000</v>
      </c>
      <c r="B15910" s="10" t="s">
        <v>15075</v>
      </c>
    </row>
    <row r="15911" spans="1:2" x14ac:dyDescent="0.3">
      <c r="A15911" s="7" t="str">
        <f>HYPERLINK("http://www.eatonpowersource.com/products/details/6792-000","6792-000")</f>
        <v>6792-000</v>
      </c>
      <c r="B15911" s="8" t="s">
        <v>15076</v>
      </c>
    </row>
    <row r="15912" spans="1:2" x14ac:dyDescent="0.3">
      <c r="A15912" s="9" t="str">
        <f>HYPERLINK("http://www.eatonpowersource.com/products/details/6943-000","6943-000")</f>
        <v>6943-000</v>
      </c>
      <c r="B15912" s="10" t="s">
        <v>15077</v>
      </c>
    </row>
    <row r="15913" spans="1:2" x14ac:dyDescent="0.3">
      <c r="A15913" s="7" t="str">
        <f>HYPERLINK("http://www.eatonpowersource.com/products/details/6992-000","6992-000")</f>
        <v>6992-000</v>
      </c>
      <c r="B15913" s="8" t="s">
        <v>15078</v>
      </c>
    </row>
    <row r="15914" spans="1:2" x14ac:dyDescent="0.3">
      <c r="A15914" s="9" t="str">
        <f>HYPERLINK("http://www.eatonpowersource.com/products/details/6993-000","6993-000")</f>
        <v>6993-000</v>
      </c>
      <c r="B15914" s="10" t="s">
        <v>15079</v>
      </c>
    </row>
    <row r="15915" spans="1:2" x14ac:dyDescent="0.3">
      <c r="A15915" s="7" t="str">
        <f>HYPERLINK("http://www.eatonpowersource.com/products/details/70044-000","70044-000")</f>
        <v>70044-000</v>
      </c>
      <c r="B15915" s="8" t="s">
        <v>15080</v>
      </c>
    </row>
    <row r="15916" spans="1:2" x14ac:dyDescent="0.3">
      <c r="A15916" s="9" t="str">
        <f>HYPERLINK("http://www.eatonpowersource.com/products/details/70101-150","70101-150")</f>
        <v>70101-150</v>
      </c>
      <c r="B15916" s="10" t="s">
        <v>15081</v>
      </c>
    </row>
    <row r="15917" spans="1:2" x14ac:dyDescent="0.3">
      <c r="A15917" s="7" t="str">
        <f>HYPERLINK("http://www.eatonpowersource.com/products/details/70102-202","70102-202")</f>
        <v>70102-202</v>
      </c>
      <c r="B15917" s="8" t="s">
        <v>15082</v>
      </c>
    </row>
    <row r="15918" spans="1:2" x14ac:dyDescent="0.3">
      <c r="A15918" s="9" t="str">
        <f>HYPERLINK("http://www.eatonpowersource.com/products/details/70102-615","70102-615")</f>
        <v>70102-615</v>
      </c>
      <c r="B15918" s="10" t="s">
        <v>15083</v>
      </c>
    </row>
    <row r="15919" spans="1:2" x14ac:dyDescent="0.3">
      <c r="A15919" s="7" t="str">
        <f>HYPERLINK("http://www.eatonpowersource.com/products/details/70102-616","70102-616")</f>
        <v>70102-616</v>
      </c>
      <c r="B15919" s="8" t="s">
        <v>15084</v>
      </c>
    </row>
    <row r="15920" spans="1:2" x14ac:dyDescent="0.3">
      <c r="A15920" s="9" t="str">
        <f>HYPERLINK("http://www.eatonpowersource.com/products/details/70102-625","70102-625")</f>
        <v>70102-625</v>
      </c>
      <c r="B15920" s="10" t="s">
        <v>15085</v>
      </c>
    </row>
    <row r="15921" spans="1:2" x14ac:dyDescent="0.3">
      <c r="A15921" s="7" t="str">
        <f>HYPERLINK("http://www.eatonpowersource.com/products/details/70111-507","70111-507")</f>
        <v>70111-507</v>
      </c>
      <c r="B15921" s="8" t="s">
        <v>10079</v>
      </c>
    </row>
    <row r="15922" spans="1:2" x14ac:dyDescent="0.3">
      <c r="A15922" s="9" t="str">
        <f>HYPERLINK("http://www.eatonpowersource.com/products/details/70111-512","70111-512")</f>
        <v>70111-512</v>
      </c>
      <c r="B15922" s="10" t="s">
        <v>15086</v>
      </c>
    </row>
    <row r="15923" spans="1:2" x14ac:dyDescent="0.3">
      <c r="A15923" s="7" t="str">
        <f>HYPERLINK("http://www.eatonpowersource.com/products/details/70111-610","70111-610")</f>
        <v>70111-610</v>
      </c>
      <c r="B15923" s="8" t="s">
        <v>15087</v>
      </c>
    </row>
    <row r="15924" spans="1:2" x14ac:dyDescent="0.3">
      <c r="A15924" s="9" t="str">
        <f>HYPERLINK("http://www.eatonpowersource.com/products/details/70111-622","70111-622")</f>
        <v>70111-622</v>
      </c>
      <c r="B15924" s="10" t="s">
        <v>8987</v>
      </c>
    </row>
    <row r="15925" spans="1:2" x14ac:dyDescent="0.3">
      <c r="A15925" s="7" t="str">
        <f>HYPERLINK("http://www.eatonpowersource.com/products/details/70111-630","70111-630")</f>
        <v>70111-630</v>
      </c>
      <c r="B15925" s="8" t="s">
        <v>15088</v>
      </c>
    </row>
    <row r="15926" spans="1:2" x14ac:dyDescent="0.3">
      <c r="A15926" s="9" t="str">
        <f>HYPERLINK("http://www.eatonpowersource.com/products/details/70111-646","70111-646")</f>
        <v>70111-646</v>
      </c>
      <c r="B15926" s="10" t="s">
        <v>15089</v>
      </c>
    </row>
    <row r="15927" spans="1:2" x14ac:dyDescent="0.3">
      <c r="A15927" s="7" t="str">
        <f>HYPERLINK("http://www.eatonpowersource.com/products/details/70111-665","70111-665")</f>
        <v>70111-665</v>
      </c>
      <c r="B15927" s="8" t="s">
        <v>15090</v>
      </c>
    </row>
    <row r="15928" spans="1:2" x14ac:dyDescent="0.3">
      <c r="A15928" s="9" t="str">
        <f>HYPERLINK("http://www.eatonpowersource.com/products/details/70111-666","70111-666")</f>
        <v>70111-666</v>
      </c>
      <c r="B15928" s="10" t="s">
        <v>15091</v>
      </c>
    </row>
    <row r="15929" spans="1:2" x14ac:dyDescent="0.3">
      <c r="A15929" s="7" t="str">
        <f>HYPERLINK("http://www.eatonpowersource.com/products/details/70111-687","70111-687")</f>
        <v>70111-687</v>
      </c>
      <c r="B15929" s="8" t="s">
        <v>15092</v>
      </c>
    </row>
    <row r="15930" spans="1:2" x14ac:dyDescent="0.3">
      <c r="A15930" s="9" t="str">
        <f>HYPERLINK("http://www.eatonpowersource.com/products/details/70111-692","70111-692")</f>
        <v>70111-692</v>
      </c>
      <c r="B15930" s="10" t="s">
        <v>15093</v>
      </c>
    </row>
    <row r="15931" spans="1:2" x14ac:dyDescent="0.3">
      <c r="A15931" s="7" t="str">
        <f>HYPERLINK("http://www.eatonpowersource.com/products/details/70111-695","70111-695")</f>
        <v>70111-695</v>
      </c>
      <c r="B15931" s="8" t="s">
        <v>15094</v>
      </c>
    </row>
    <row r="15932" spans="1:2" x14ac:dyDescent="0.3">
      <c r="A15932" s="9" t="str">
        <f>HYPERLINK("http://www.eatonpowersource.com/products/details/70111-701","70111-701")</f>
        <v>70111-701</v>
      </c>
      <c r="B15932" s="10" t="s">
        <v>15095</v>
      </c>
    </row>
    <row r="15933" spans="1:2" x14ac:dyDescent="0.3">
      <c r="A15933" s="7" t="str">
        <f>HYPERLINK("http://www.eatonpowersource.com/products/details/70111-702","70111-702")</f>
        <v>70111-702</v>
      </c>
      <c r="B15933" s="8" t="s">
        <v>15090</v>
      </c>
    </row>
    <row r="15934" spans="1:2" x14ac:dyDescent="0.3">
      <c r="A15934" s="9" t="str">
        <f>HYPERLINK("http://www.eatonpowersource.com/products/details/70111-703","70111-703")</f>
        <v>70111-703</v>
      </c>
      <c r="B15934" s="10" t="s">
        <v>9968</v>
      </c>
    </row>
    <row r="15935" spans="1:2" x14ac:dyDescent="0.3">
      <c r="A15935" s="7" t="str">
        <f>HYPERLINK("http://www.eatonpowersource.com/products/details/70111-711","70111-711")</f>
        <v>70111-711</v>
      </c>
      <c r="B15935" s="8" t="s">
        <v>15096</v>
      </c>
    </row>
    <row r="15936" spans="1:2" x14ac:dyDescent="0.3">
      <c r="A15936" s="9" t="str">
        <f>HYPERLINK("http://www.eatonpowersource.com/products/details/70112-007","70112-007")</f>
        <v>70112-007</v>
      </c>
      <c r="B15936" s="10" t="s">
        <v>15097</v>
      </c>
    </row>
    <row r="15937" spans="1:2" x14ac:dyDescent="0.3">
      <c r="A15937" s="7" t="str">
        <f>HYPERLINK("http://www.eatonpowersource.com/products/details/70113-008","70113-008")</f>
        <v>70113-008</v>
      </c>
      <c r="B15937" s="8" t="s">
        <v>15097</v>
      </c>
    </row>
    <row r="15938" spans="1:2" x14ac:dyDescent="0.3">
      <c r="A15938" s="9" t="str">
        <f>HYPERLINK("http://www.eatonpowersource.com/products/details/70113-009","70113-009")</f>
        <v>70113-009</v>
      </c>
      <c r="B15938" s="10" t="s">
        <v>15097</v>
      </c>
    </row>
    <row r="15939" spans="1:2" x14ac:dyDescent="0.3">
      <c r="A15939" s="7" t="str">
        <f>HYPERLINK("http://www.eatonpowersource.com/products/details/70120-309","70120-309")</f>
        <v>70120-309</v>
      </c>
      <c r="B15939" s="8" t="s">
        <v>15098</v>
      </c>
    </row>
    <row r="15940" spans="1:2" x14ac:dyDescent="0.3">
      <c r="A15940" s="9" t="str">
        <f>HYPERLINK("http://www.eatonpowersource.com/products/details/70120-311","70120-311")</f>
        <v>70120-311</v>
      </c>
      <c r="B15940" s="10" t="s">
        <v>15098</v>
      </c>
    </row>
    <row r="15941" spans="1:2" x14ac:dyDescent="0.3">
      <c r="A15941" s="7" t="str">
        <f>HYPERLINK("http://www.eatonpowersource.com/products/details/70120-318","70120-318")</f>
        <v>70120-318</v>
      </c>
      <c r="B15941" s="8" t="s">
        <v>15098</v>
      </c>
    </row>
    <row r="15942" spans="1:2" x14ac:dyDescent="0.3">
      <c r="A15942" s="9" t="str">
        <f>HYPERLINK("http://www.eatonpowersource.com/products/details/70120-401","70120-401")</f>
        <v>70120-401</v>
      </c>
      <c r="B15942" s="10" t="s">
        <v>15099</v>
      </c>
    </row>
    <row r="15943" spans="1:2" x14ac:dyDescent="0.3">
      <c r="A15943" s="7" t="str">
        <f>HYPERLINK("http://www.eatonpowersource.com/products/details/70120-600","70120-600")</f>
        <v>70120-600</v>
      </c>
      <c r="B15943" s="8" t="s">
        <v>15100</v>
      </c>
    </row>
    <row r="15944" spans="1:2" x14ac:dyDescent="0.3">
      <c r="A15944" s="9" t="str">
        <f>HYPERLINK("http://www.eatonpowersource.com/products/details/70120-601","70120-601")</f>
        <v>70120-601</v>
      </c>
      <c r="B15944" s="10" t="s">
        <v>10672</v>
      </c>
    </row>
    <row r="15945" spans="1:2" x14ac:dyDescent="0.3">
      <c r="A15945" s="7" t="str">
        <f>HYPERLINK("http://www.eatonpowersource.com/products/details/70122-203","70122-203")</f>
        <v>70122-203</v>
      </c>
      <c r="B15945" s="8" t="s">
        <v>15101</v>
      </c>
    </row>
    <row r="15946" spans="1:2" x14ac:dyDescent="0.3">
      <c r="A15946" s="9" t="str">
        <f>HYPERLINK("http://www.eatonpowersource.com/products/details/70122-206","70122-206")</f>
        <v>70122-206</v>
      </c>
      <c r="B15946" s="10" t="s">
        <v>15102</v>
      </c>
    </row>
    <row r="15947" spans="1:2" x14ac:dyDescent="0.3">
      <c r="A15947" s="7" t="str">
        <f>HYPERLINK("http://www.eatonpowersource.com/products/details/70122-901","70122-901")</f>
        <v>70122-901</v>
      </c>
      <c r="B15947" s="8" t="s">
        <v>14835</v>
      </c>
    </row>
    <row r="15948" spans="1:2" x14ac:dyDescent="0.3">
      <c r="A15948" s="9" t="str">
        <f>HYPERLINK("http://www.eatonpowersource.com/products/details/70122-902","70122-902")</f>
        <v>70122-902</v>
      </c>
      <c r="B15948" s="10" t="s">
        <v>14835</v>
      </c>
    </row>
    <row r="15949" spans="1:2" x14ac:dyDescent="0.3">
      <c r="A15949" s="7" t="str">
        <f>HYPERLINK("http://www.eatonpowersource.com/products/details/70122-907","70122-907")</f>
        <v>70122-907</v>
      </c>
      <c r="B15949" s="8" t="s">
        <v>14835</v>
      </c>
    </row>
    <row r="15950" spans="1:2" x14ac:dyDescent="0.3">
      <c r="A15950" s="9" t="str">
        <f>HYPERLINK("http://www.eatonpowersource.com/products/details/70130-000","70130-000")</f>
        <v>70130-000</v>
      </c>
      <c r="B15950" s="10" t="s">
        <v>15103</v>
      </c>
    </row>
    <row r="15951" spans="1:2" x14ac:dyDescent="0.3">
      <c r="A15951" s="7" t="str">
        <f>HYPERLINK("http://www.eatonpowersource.com/products/details/70142-200","70142-200")</f>
        <v>70142-200</v>
      </c>
      <c r="B15951" s="8" t="s">
        <v>15082</v>
      </c>
    </row>
    <row r="15952" spans="1:2" x14ac:dyDescent="0.3">
      <c r="A15952" s="9" t="str">
        <f>HYPERLINK("http://www.eatonpowersource.com/products/details/70142-201","70142-201")</f>
        <v>70142-201</v>
      </c>
      <c r="B15952" s="10" t="s">
        <v>14915</v>
      </c>
    </row>
    <row r="15953" spans="1:2" x14ac:dyDescent="0.3">
      <c r="A15953" s="7" t="str">
        <f>HYPERLINK("http://www.eatonpowersource.com/products/details/70142-203","70142-203")</f>
        <v>70142-203</v>
      </c>
      <c r="B15953" s="8" t="s">
        <v>15101</v>
      </c>
    </row>
    <row r="15954" spans="1:2" x14ac:dyDescent="0.3">
      <c r="A15954" s="9" t="str">
        <f>HYPERLINK("http://www.eatonpowersource.com/products/details/70142-215","70142-215")</f>
        <v>70142-215</v>
      </c>
      <c r="B15954" s="10" t="s">
        <v>14496</v>
      </c>
    </row>
    <row r="15955" spans="1:2" x14ac:dyDescent="0.3">
      <c r="A15955" s="7" t="str">
        <f>HYPERLINK("http://www.eatonpowersource.com/products/details/70142-314","70142-314")</f>
        <v>70142-314</v>
      </c>
      <c r="B15955" s="8" t="s">
        <v>15104</v>
      </c>
    </row>
    <row r="15956" spans="1:2" x14ac:dyDescent="0.3">
      <c r="A15956" s="9" t="str">
        <f>HYPERLINK("http://www.eatonpowersource.com/products/details/70142-413","70142-413")</f>
        <v>70142-413</v>
      </c>
      <c r="B15956" s="10" t="s">
        <v>15105</v>
      </c>
    </row>
    <row r="15957" spans="1:2" x14ac:dyDescent="0.3">
      <c r="A15957" s="7" t="str">
        <f>HYPERLINK("http://www.eatonpowersource.com/products/details/70142-600","70142-600")</f>
        <v>70142-600</v>
      </c>
      <c r="B15957" s="8" t="s">
        <v>15106</v>
      </c>
    </row>
    <row r="15958" spans="1:2" x14ac:dyDescent="0.3">
      <c r="A15958" s="9" t="str">
        <f>HYPERLINK("http://www.eatonpowersource.com/products/details/70142-606","70142-606")</f>
        <v>70142-606</v>
      </c>
      <c r="B15958" s="10" t="s">
        <v>15097</v>
      </c>
    </row>
    <row r="15959" spans="1:2" x14ac:dyDescent="0.3">
      <c r="A15959" s="7" t="str">
        <f>HYPERLINK("http://www.eatonpowersource.com/products/details/70142-908","70142-908")</f>
        <v>70142-908</v>
      </c>
      <c r="B15959" s="8" t="s">
        <v>14703</v>
      </c>
    </row>
    <row r="15960" spans="1:2" x14ac:dyDescent="0.3">
      <c r="A15960" s="9" t="str">
        <f>HYPERLINK("http://www.eatonpowersource.com/products/details/70142-913","70142-913")</f>
        <v>70142-913</v>
      </c>
      <c r="B15960" s="10" t="s">
        <v>15107</v>
      </c>
    </row>
    <row r="15961" spans="1:2" x14ac:dyDescent="0.3">
      <c r="A15961" s="7" t="str">
        <f>HYPERLINK("http://www.eatonpowersource.com/products/details/70142-915","70142-915")</f>
        <v>70142-915</v>
      </c>
      <c r="B15961" s="8" t="s">
        <v>15108</v>
      </c>
    </row>
    <row r="15962" spans="1:2" x14ac:dyDescent="0.3">
      <c r="A15962" s="9" t="str">
        <f>HYPERLINK("http://www.eatonpowersource.com/products/details/70142-938","70142-938")</f>
        <v>70142-938</v>
      </c>
      <c r="B15962" s="10" t="s">
        <v>14835</v>
      </c>
    </row>
    <row r="15963" spans="1:2" x14ac:dyDescent="0.3">
      <c r="A15963" s="7" t="str">
        <f>HYPERLINK("http://www.eatonpowersource.com/products/details/70142-941","70142-941")</f>
        <v>70142-941</v>
      </c>
      <c r="B15963" s="8" t="s">
        <v>14703</v>
      </c>
    </row>
    <row r="15964" spans="1:2" x14ac:dyDescent="0.3">
      <c r="A15964" s="9" t="str">
        <f>HYPERLINK("http://www.eatonpowersource.com/products/details/70144-901","70144-901")</f>
        <v>70144-901</v>
      </c>
      <c r="B15964" s="10" t="s">
        <v>14835</v>
      </c>
    </row>
    <row r="15965" spans="1:2" x14ac:dyDescent="0.3">
      <c r="A15965" s="7" t="str">
        <f>HYPERLINK("http://www.eatonpowersource.com/products/details/70160-504","70160-504")</f>
        <v>70160-504</v>
      </c>
      <c r="B15965" s="8" t="s">
        <v>15109</v>
      </c>
    </row>
    <row r="15966" spans="1:2" x14ac:dyDescent="0.3">
      <c r="A15966" s="9" t="str">
        <f>HYPERLINK("http://www.eatonpowersource.com/products/details/70160-510","70160-510")</f>
        <v>70160-510</v>
      </c>
      <c r="B15966" s="10" t="s">
        <v>15110</v>
      </c>
    </row>
    <row r="15967" spans="1:2" x14ac:dyDescent="0.3">
      <c r="A15967" s="7" t="str">
        <f>HYPERLINK("http://www.eatonpowersource.com/products/details/70160-902","70160-902")</f>
        <v>70160-902</v>
      </c>
      <c r="B15967" s="8" t="s">
        <v>14835</v>
      </c>
    </row>
    <row r="15968" spans="1:2" x14ac:dyDescent="0.3">
      <c r="A15968" s="9" t="str">
        <f>HYPERLINK("http://www.eatonpowersource.com/products/details/70160-903","70160-903")</f>
        <v>70160-903</v>
      </c>
      <c r="B15968" s="10" t="s">
        <v>15111</v>
      </c>
    </row>
    <row r="15969" spans="1:2" x14ac:dyDescent="0.3">
      <c r="A15969" s="7" t="str">
        <f>HYPERLINK("http://www.eatonpowersource.com/products/details/70192-902","70192-902")</f>
        <v>70192-902</v>
      </c>
      <c r="B15969" s="8" t="s">
        <v>14703</v>
      </c>
    </row>
    <row r="15970" spans="1:2" x14ac:dyDescent="0.3">
      <c r="A15970" s="9" t="str">
        <f>HYPERLINK("http://www.eatonpowersource.com/products/details/70271-002","70271-002")</f>
        <v>70271-002</v>
      </c>
      <c r="B15970" s="10" t="s">
        <v>15112</v>
      </c>
    </row>
    <row r="15971" spans="1:2" x14ac:dyDescent="0.3">
      <c r="A15971" s="7" t="str">
        <f>HYPERLINK("http://www.eatonpowersource.com/products/details/70271-007","70271-007")</f>
        <v>70271-007</v>
      </c>
      <c r="B15971" s="8" t="s">
        <v>15112</v>
      </c>
    </row>
    <row r="15972" spans="1:2" x14ac:dyDescent="0.3">
      <c r="A15972" s="9" t="str">
        <f>HYPERLINK("http://www.eatonpowersource.com/products/details/70271-015","70271-015")</f>
        <v>70271-015</v>
      </c>
      <c r="B15972" s="10" t="s">
        <v>15112</v>
      </c>
    </row>
    <row r="15973" spans="1:2" x14ac:dyDescent="0.3">
      <c r="A15973" s="7" t="str">
        <f>HYPERLINK("http://www.eatonpowersource.com/products/details/70271-035","70271-035")</f>
        <v>70271-035</v>
      </c>
      <c r="B15973" s="8" t="s">
        <v>15112</v>
      </c>
    </row>
    <row r="15974" spans="1:2" x14ac:dyDescent="0.3">
      <c r="A15974" s="9" t="str">
        <f>HYPERLINK("http://www.eatonpowersource.com/products/details/70271-060","70271-060")</f>
        <v>70271-060</v>
      </c>
      <c r="B15974" s="10" t="s">
        <v>15113</v>
      </c>
    </row>
    <row r="15975" spans="1:2" x14ac:dyDescent="0.3">
      <c r="A15975" s="7" t="str">
        <f>HYPERLINK("http://www.eatonpowersource.com/products/details/70300-603","70300-603")</f>
        <v>70300-603</v>
      </c>
      <c r="B15975" s="8" t="s">
        <v>15093</v>
      </c>
    </row>
    <row r="15976" spans="1:2" x14ac:dyDescent="0.3">
      <c r="A15976" s="9" t="str">
        <f>HYPERLINK("http://www.eatonpowersource.com/products/details/70300-604","70300-604")</f>
        <v>70300-604</v>
      </c>
      <c r="B15976" s="10" t="s">
        <v>15109</v>
      </c>
    </row>
    <row r="15977" spans="1:2" x14ac:dyDescent="0.3">
      <c r="A15977" s="7" t="str">
        <f>HYPERLINK("http://www.eatonpowersource.com/products/details/70300-630","70300-630")</f>
        <v>70300-630</v>
      </c>
      <c r="B15977" s="8" t="s">
        <v>15114</v>
      </c>
    </row>
    <row r="15978" spans="1:2" x14ac:dyDescent="0.3">
      <c r="A15978" s="9" t="str">
        <f>HYPERLINK("http://www.eatonpowersource.com/products/details/70342-600","70342-600")</f>
        <v>70342-600</v>
      </c>
      <c r="B15978" s="10" t="s">
        <v>15115</v>
      </c>
    </row>
    <row r="15979" spans="1:2" x14ac:dyDescent="0.3">
      <c r="A15979" s="7" t="str">
        <f>HYPERLINK("http://www.eatonpowersource.com/products/details/70342-900","70342-900")</f>
        <v>70342-900</v>
      </c>
      <c r="B15979" s="8" t="s">
        <v>2797</v>
      </c>
    </row>
    <row r="15980" spans="1:2" x14ac:dyDescent="0.3">
      <c r="A15980" s="9" t="str">
        <f>HYPERLINK("http://www.eatonpowersource.com/products/details/70342-902","70342-902")</f>
        <v>70342-902</v>
      </c>
      <c r="B15980" s="10" t="s">
        <v>15116</v>
      </c>
    </row>
    <row r="15981" spans="1:2" x14ac:dyDescent="0.3">
      <c r="A15981" s="7" t="str">
        <f>HYPERLINK("http://www.eatonpowersource.com/products/details/70342-904","70342-904")</f>
        <v>70342-904</v>
      </c>
      <c r="B15981" s="8" t="s">
        <v>15116</v>
      </c>
    </row>
    <row r="15982" spans="1:2" x14ac:dyDescent="0.3">
      <c r="A15982" s="9" t="str">
        <f>HYPERLINK("http://www.eatonpowersource.com/products/details/70342-905","70342-905")</f>
        <v>70342-905</v>
      </c>
      <c r="B15982" s="10" t="s">
        <v>15117</v>
      </c>
    </row>
    <row r="15983" spans="1:2" x14ac:dyDescent="0.3">
      <c r="A15983" s="7" t="str">
        <f>HYPERLINK("http://www.eatonpowersource.com/products/details/70344-51","70344-51")</f>
        <v>70344-51</v>
      </c>
      <c r="B15983" s="8" t="s">
        <v>15097</v>
      </c>
    </row>
    <row r="15984" spans="1:2" x14ac:dyDescent="0.3">
      <c r="A15984" s="9" t="str">
        <f>HYPERLINK("http://www.eatonpowersource.com/products/details/70344-52","70344-52")</f>
        <v>70344-52</v>
      </c>
      <c r="B15984" s="10" t="s">
        <v>15097</v>
      </c>
    </row>
    <row r="15985" spans="1:2" x14ac:dyDescent="0.3">
      <c r="A15985" s="7" t="str">
        <f>HYPERLINK("http://www.eatonpowersource.com/products/details/70344-902","70344-902")</f>
        <v>70344-902</v>
      </c>
      <c r="B15985" s="8" t="s">
        <v>14703</v>
      </c>
    </row>
    <row r="15986" spans="1:2" x14ac:dyDescent="0.3">
      <c r="A15986" s="9" t="str">
        <f>HYPERLINK("http://www.eatonpowersource.com/products/details/70360-326","70360-326")</f>
        <v>70360-326</v>
      </c>
      <c r="B15986" s="10" t="s">
        <v>14452</v>
      </c>
    </row>
    <row r="15987" spans="1:2" x14ac:dyDescent="0.3">
      <c r="A15987" s="7" t="str">
        <f>HYPERLINK("http://www.eatonpowersource.com/products/details/70360-520","70360-520")</f>
        <v>70360-520</v>
      </c>
      <c r="B15987" s="8" t="s">
        <v>15118</v>
      </c>
    </row>
    <row r="15988" spans="1:2" x14ac:dyDescent="0.3">
      <c r="A15988" s="9" t="str">
        <f>HYPERLINK("http://www.eatonpowersource.com/products/details/70360-526","70360-526")</f>
        <v>70360-526</v>
      </c>
      <c r="B15988" s="10" t="s">
        <v>15119</v>
      </c>
    </row>
    <row r="15989" spans="1:2" x14ac:dyDescent="0.3">
      <c r="A15989" s="7" t="str">
        <f>HYPERLINK("http://www.eatonpowersource.com/products/details/70360-528","70360-528")</f>
        <v>70360-528</v>
      </c>
      <c r="B15989" s="8" t="s">
        <v>15118</v>
      </c>
    </row>
    <row r="15990" spans="1:2" x14ac:dyDescent="0.3">
      <c r="A15990" s="9" t="str">
        <f>HYPERLINK("http://www.eatonpowersource.com/products/details/70360-621","70360-621")</f>
        <v>70360-621</v>
      </c>
      <c r="B15990" s="10" t="s">
        <v>15120</v>
      </c>
    </row>
    <row r="15991" spans="1:2" x14ac:dyDescent="0.3">
      <c r="A15991" s="7" t="str">
        <f>HYPERLINK("http://www.eatonpowersource.com/products/details/70360-900","70360-900")</f>
        <v>70360-900</v>
      </c>
      <c r="B15991" s="8" t="s">
        <v>15121</v>
      </c>
    </row>
    <row r="15992" spans="1:2" x14ac:dyDescent="0.3">
      <c r="A15992" s="9" t="str">
        <f>HYPERLINK("http://www.eatonpowersource.com/products/details/70360-901","70360-901")</f>
        <v>70360-901</v>
      </c>
      <c r="B15992" s="10" t="s">
        <v>15122</v>
      </c>
    </row>
    <row r="15993" spans="1:2" x14ac:dyDescent="0.3">
      <c r="A15993" s="7" t="str">
        <f>HYPERLINK("http://www.eatonpowersource.com/products/details/70400-620","70400-620")</f>
        <v>70400-620</v>
      </c>
      <c r="B15993" s="8" t="s">
        <v>10088</v>
      </c>
    </row>
    <row r="15994" spans="1:2" x14ac:dyDescent="0.3">
      <c r="A15994" s="9" t="str">
        <f>HYPERLINK("http://www.eatonpowersource.com/products/details/70400-695","70400-695")</f>
        <v>70400-695</v>
      </c>
      <c r="B15994" s="10" t="s">
        <v>15090</v>
      </c>
    </row>
    <row r="15995" spans="1:2" x14ac:dyDescent="0.3">
      <c r="A15995" s="7" t="str">
        <f>HYPERLINK("http://www.eatonpowersource.com/products/details/70400-703","70400-703")</f>
        <v>70400-703</v>
      </c>
      <c r="B15995" s="8" t="s">
        <v>15123</v>
      </c>
    </row>
    <row r="15996" spans="1:2" x14ac:dyDescent="0.3">
      <c r="A15996" s="9" t="str">
        <f>HYPERLINK("http://www.eatonpowersource.com/products/details/70400-706","70400-706")</f>
        <v>70400-706</v>
      </c>
      <c r="B15996" s="10" t="s">
        <v>15097</v>
      </c>
    </row>
    <row r="15997" spans="1:2" x14ac:dyDescent="0.3">
      <c r="A15997" s="7" t="str">
        <f>HYPERLINK("http://www.eatonpowersource.com/products/details/70400-707","70400-707")</f>
        <v>70400-707</v>
      </c>
      <c r="B15997" s="8" t="s">
        <v>15124</v>
      </c>
    </row>
    <row r="15998" spans="1:2" x14ac:dyDescent="0.3">
      <c r="A15998" s="9" t="str">
        <f>HYPERLINK("http://www.eatonpowersource.com/products/details/70400-737","70400-737")</f>
        <v>70400-737</v>
      </c>
      <c r="B15998" s="10" t="s">
        <v>15093</v>
      </c>
    </row>
    <row r="15999" spans="1:2" x14ac:dyDescent="0.3">
      <c r="A15999" s="7" t="str">
        <f>HYPERLINK("http://www.eatonpowersource.com/products/details/70400-740","70400-740")</f>
        <v>70400-740</v>
      </c>
      <c r="B15999" s="8" t="s">
        <v>15097</v>
      </c>
    </row>
    <row r="16000" spans="1:2" x14ac:dyDescent="0.3">
      <c r="A16000" s="9" t="str">
        <f>HYPERLINK("http://www.eatonpowersource.com/products/details/70400-745","70400-745")</f>
        <v>70400-745</v>
      </c>
      <c r="B16000" s="10" t="s">
        <v>10259</v>
      </c>
    </row>
    <row r="16001" spans="1:2" x14ac:dyDescent="0.3">
      <c r="A16001" s="7" t="str">
        <f>HYPERLINK("http://www.eatonpowersource.com/products/details/70400-756","70400-756")</f>
        <v>70400-756</v>
      </c>
      <c r="B16001" s="8" t="s">
        <v>15125</v>
      </c>
    </row>
    <row r="16002" spans="1:2" x14ac:dyDescent="0.3">
      <c r="A16002" s="9" t="str">
        <f>HYPERLINK("http://www.eatonpowersource.com/products/details/70401-30","70401-30")</f>
        <v>70401-30</v>
      </c>
      <c r="B16002" s="10" t="s">
        <v>15126</v>
      </c>
    </row>
    <row r="16003" spans="1:2" x14ac:dyDescent="0.3">
      <c r="A16003" s="7" t="str">
        <f>HYPERLINK("http://www.eatonpowersource.com/products/details/70402-100","70402-100")</f>
        <v>70402-100</v>
      </c>
      <c r="B16003" s="8" t="s">
        <v>15127</v>
      </c>
    </row>
    <row r="16004" spans="1:2" x14ac:dyDescent="0.3">
      <c r="A16004" s="9" t="str">
        <f>HYPERLINK("http://www.eatonpowersource.com/products/details/70402-201","70402-201")</f>
        <v>70402-201</v>
      </c>
      <c r="B16004" s="10" t="s">
        <v>15128</v>
      </c>
    </row>
    <row r="16005" spans="1:2" x14ac:dyDescent="0.3">
      <c r="A16005" s="7" t="str">
        <f>HYPERLINK("http://www.eatonpowersource.com/products/details/70402-204","70402-204")</f>
        <v>70402-204</v>
      </c>
      <c r="B16005" s="8" t="s">
        <v>15101</v>
      </c>
    </row>
    <row r="16006" spans="1:2" x14ac:dyDescent="0.3">
      <c r="A16006" s="9" t="str">
        <f>HYPERLINK("http://www.eatonpowersource.com/products/details/70402-206","70402-206")</f>
        <v>70402-206</v>
      </c>
      <c r="B16006" s="10" t="s">
        <v>15082</v>
      </c>
    </row>
    <row r="16007" spans="1:2" x14ac:dyDescent="0.3">
      <c r="A16007" s="7" t="str">
        <f>HYPERLINK("http://www.eatonpowersource.com/products/details/70402-304","70402-304")</f>
        <v>70402-304</v>
      </c>
      <c r="B16007" s="8" t="s">
        <v>15129</v>
      </c>
    </row>
    <row r="16008" spans="1:2" x14ac:dyDescent="0.3">
      <c r="A16008" s="9" t="str">
        <f>HYPERLINK("http://www.eatonpowersource.com/products/details/70402-367","70402-367")</f>
        <v>70402-367</v>
      </c>
      <c r="B16008" s="10" t="s">
        <v>15129</v>
      </c>
    </row>
    <row r="16009" spans="1:2" x14ac:dyDescent="0.3">
      <c r="A16009" s="7" t="str">
        <f>HYPERLINK("http://www.eatonpowersource.com/products/details/70402-649","70402-649")</f>
        <v>70402-649</v>
      </c>
      <c r="B16009" s="8" t="s">
        <v>15130</v>
      </c>
    </row>
    <row r="16010" spans="1:2" x14ac:dyDescent="0.3">
      <c r="A16010" s="9" t="str">
        <f>HYPERLINK("http://www.eatonpowersource.com/products/details/70402-653","70402-653")</f>
        <v>70402-653</v>
      </c>
      <c r="B16010" s="10" t="s">
        <v>15131</v>
      </c>
    </row>
    <row r="16011" spans="1:2" x14ac:dyDescent="0.3">
      <c r="A16011" s="7" t="str">
        <f>HYPERLINK("http://www.eatonpowersource.com/products/details/70411-503","70411-503")</f>
        <v>70411-503</v>
      </c>
      <c r="B16011" s="8" t="s">
        <v>15132</v>
      </c>
    </row>
    <row r="16012" spans="1:2" x14ac:dyDescent="0.3">
      <c r="A16012" s="9" t="str">
        <f>HYPERLINK("http://www.eatonpowersource.com/products/details/70411-602","70411-602")</f>
        <v>70411-602</v>
      </c>
      <c r="B16012" s="10" t="s">
        <v>10109</v>
      </c>
    </row>
    <row r="16013" spans="1:2" x14ac:dyDescent="0.3">
      <c r="A16013" s="7" t="str">
        <f>HYPERLINK("http://www.eatonpowersource.com/products/details/70411-604","70411-604")</f>
        <v>70411-604</v>
      </c>
      <c r="B16013" s="8" t="s">
        <v>15133</v>
      </c>
    </row>
    <row r="16014" spans="1:2" x14ac:dyDescent="0.3">
      <c r="A16014" s="9" t="str">
        <f>HYPERLINK("http://www.eatonpowersource.com/products/details/70411-622","70411-622")</f>
        <v>70411-622</v>
      </c>
      <c r="B16014" s="10" t="s">
        <v>15134</v>
      </c>
    </row>
    <row r="16015" spans="1:2" x14ac:dyDescent="0.3">
      <c r="A16015" s="7" t="str">
        <f>HYPERLINK("http://www.eatonpowersource.com/products/details/70411-638","70411-638")</f>
        <v>70411-638</v>
      </c>
      <c r="B16015" s="8" t="s">
        <v>15135</v>
      </c>
    </row>
    <row r="16016" spans="1:2" x14ac:dyDescent="0.3">
      <c r="A16016" s="9" t="str">
        <f>HYPERLINK("http://www.eatonpowersource.com/products/details/70412-151","70412-151")</f>
        <v>70412-151</v>
      </c>
      <c r="B16016" s="10" t="s">
        <v>15136</v>
      </c>
    </row>
    <row r="16017" spans="1:2" x14ac:dyDescent="0.3">
      <c r="A16017" s="7" t="str">
        <f>HYPERLINK("http://www.eatonpowersource.com/products/details/70412-607","70412-607")</f>
        <v>70412-607</v>
      </c>
      <c r="B16017" s="8" t="s">
        <v>15137</v>
      </c>
    </row>
    <row r="16018" spans="1:2" x14ac:dyDescent="0.3">
      <c r="A16018" s="9" t="str">
        <f>HYPERLINK("http://www.eatonpowersource.com/products/details/70412-626","70412-626")</f>
        <v>70412-626</v>
      </c>
      <c r="B16018" s="10" t="s">
        <v>15095</v>
      </c>
    </row>
    <row r="16019" spans="1:2" x14ac:dyDescent="0.3">
      <c r="A16019" s="7" t="str">
        <f>HYPERLINK("http://www.eatonpowersource.com/products/details/70420-35","70420-35")</f>
        <v>70420-35</v>
      </c>
      <c r="B16019" s="8" t="s">
        <v>15138</v>
      </c>
    </row>
    <row r="16020" spans="1:2" x14ac:dyDescent="0.3">
      <c r="A16020" s="9" t="str">
        <f>HYPERLINK("http://www.eatonpowersource.com/products/details/70420-43","70420-43")</f>
        <v>70420-43</v>
      </c>
      <c r="B16020" s="10" t="s">
        <v>15139</v>
      </c>
    </row>
    <row r="16021" spans="1:2" x14ac:dyDescent="0.3">
      <c r="A16021" s="7" t="str">
        <f>HYPERLINK("http://www.eatonpowersource.com/products/details/70420-59","70420-59")</f>
        <v>70420-59</v>
      </c>
      <c r="B16021" s="8" t="s">
        <v>15140</v>
      </c>
    </row>
    <row r="16022" spans="1:2" x14ac:dyDescent="0.3">
      <c r="A16022" s="9" t="str">
        <f>HYPERLINK("http://www.eatonpowersource.com/products/details/70420-601","70420-601")</f>
        <v>70420-601</v>
      </c>
      <c r="B16022" s="10" t="s">
        <v>15141</v>
      </c>
    </row>
    <row r="16023" spans="1:2" x14ac:dyDescent="0.3">
      <c r="A16023" s="7" t="str">
        <f>HYPERLINK("http://www.eatonpowersource.com/products/details/70421-150","70421-150")</f>
        <v>70421-150</v>
      </c>
      <c r="B16023" s="8" t="s">
        <v>15142</v>
      </c>
    </row>
    <row r="16024" spans="1:2" x14ac:dyDescent="0.3">
      <c r="A16024" s="9" t="str">
        <f>HYPERLINK("http://www.eatonpowersource.com/products/details/70421-334","70421-334")</f>
        <v>70421-334</v>
      </c>
      <c r="B16024" s="10" t="s">
        <v>15143</v>
      </c>
    </row>
    <row r="16025" spans="1:2" x14ac:dyDescent="0.3">
      <c r="A16025" s="7" t="str">
        <f>HYPERLINK("http://www.eatonpowersource.com/products/details/70422-600","70422-600")</f>
        <v>70422-600</v>
      </c>
      <c r="B16025" s="8" t="s">
        <v>10117</v>
      </c>
    </row>
    <row r="16026" spans="1:2" x14ac:dyDescent="0.3">
      <c r="A16026" s="9" t="str">
        <f>HYPERLINK("http://www.eatonpowersource.com/products/details/70422-602","70422-602")</f>
        <v>70422-602</v>
      </c>
      <c r="B16026" s="10" t="s">
        <v>15144</v>
      </c>
    </row>
    <row r="16027" spans="1:2" x14ac:dyDescent="0.3">
      <c r="A16027" s="7" t="str">
        <f>HYPERLINK("http://www.eatonpowersource.com/products/details/70422-618","70422-618")</f>
        <v>70422-618</v>
      </c>
      <c r="B16027" s="8" t="s">
        <v>15145</v>
      </c>
    </row>
    <row r="16028" spans="1:2" x14ac:dyDescent="0.3">
      <c r="A16028" s="9" t="str">
        <f>HYPERLINK("http://www.eatonpowersource.com/products/details/70422-620","70422-620")</f>
        <v>70422-620</v>
      </c>
      <c r="B16028" s="10" t="s">
        <v>14612</v>
      </c>
    </row>
    <row r="16029" spans="1:2" x14ac:dyDescent="0.3">
      <c r="A16029" s="7" t="str">
        <f>HYPERLINK("http://www.eatonpowersource.com/products/details/70422-900","70422-900")</f>
        <v>70422-900</v>
      </c>
      <c r="B16029" s="8" t="s">
        <v>14835</v>
      </c>
    </row>
    <row r="16030" spans="1:2" x14ac:dyDescent="0.3">
      <c r="A16030" s="9" t="str">
        <f>HYPERLINK("http://www.eatonpowersource.com/products/details/70422-909","70422-909")</f>
        <v>70422-909</v>
      </c>
      <c r="B16030" s="10" t="s">
        <v>14703</v>
      </c>
    </row>
    <row r="16031" spans="1:2" x14ac:dyDescent="0.3">
      <c r="A16031" s="7" t="str">
        <f>HYPERLINK("http://www.eatonpowersource.com/products/details/70422-915","70422-915")</f>
        <v>70422-915</v>
      </c>
      <c r="B16031" s="8" t="s">
        <v>2797</v>
      </c>
    </row>
    <row r="16032" spans="1:2" x14ac:dyDescent="0.3">
      <c r="A16032" s="9" t="str">
        <f>HYPERLINK("http://www.eatonpowersource.com/products/details/70422-ay-03","70422-AY-03")</f>
        <v>70422-AY-03</v>
      </c>
      <c r="B16032" s="10" t="s">
        <v>15146</v>
      </c>
    </row>
    <row r="16033" spans="1:2" x14ac:dyDescent="0.3">
      <c r="A16033" s="7" t="str">
        <f>HYPERLINK("http://www.eatonpowersource.com/products/details/70422-bm-01","70422-BM-01")</f>
        <v>70422-BM-01</v>
      </c>
      <c r="B16033" s="8" t="s">
        <v>9974</v>
      </c>
    </row>
    <row r="16034" spans="1:2" x14ac:dyDescent="0.3">
      <c r="A16034" s="9" t="str">
        <f>HYPERLINK("http://www.eatonpowersource.com/products/details/70422-gs","70422-GS")</f>
        <v>70422-GS</v>
      </c>
      <c r="B16034" s="10" t="s">
        <v>15146</v>
      </c>
    </row>
    <row r="16035" spans="1:2" x14ac:dyDescent="0.3">
      <c r="A16035" s="7" t="str">
        <f>HYPERLINK("http://www.eatonpowersource.com/products/details/70422-hc-02","70422-HC-02")</f>
        <v>70422-HC-02</v>
      </c>
      <c r="B16035" s="8" t="s">
        <v>15147</v>
      </c>
    </row>
    <row r="16036" spans="1:2" x14ac:dyDescent="0.3">
      <c r="A16036" s="9" t="str">
        <f>HYPERLINK("http://www.eatonpowersource.com/products/details/70422-hu","70422-HU")</f>
        <v>70422-HU</v>
      </c>
      <c r="B16036" s="10" t="s">
        <v>9974</v>
      </c>
    </row>
    <row r="16037" spans="1:2" x14ac:dyDescent="0.3">
      <c r="A16037" s="7" t="str">
        <f>HYPERLINK("http://www.eatonpowersource.com/products/details/70422-hy","70422-HY")</f>
        <v>70422-HY</v>
      </c>
      <c r="B16037" s="8" t="s">
        <v>9974</v>
      </c>
    </row>
    <row r="16038" spans="1:2" x14ac:dyDescent="0.3">
      <c r="A16038" s="9" t="str">
        <f>HYPERLINK("http://www.eatonpowersource.com/products/details/70423-301","70423-301")</f>
        <v>70423-301</v>
      </c>
      <c r="B16038" s="10" t="s">
        <v>15098</v>
      </c>
    </row>
    <row r="16039" spans="1:2" x14ac:dyDescent="0.3">
      <c r="A16039" s="7" t="str">
        <f>HYPERLINK("http://www.eatonpowersource.com/products/details/70423-303","70423-303")</f>
        <v>70423-303</v>
      </c>
      <c r="B16039" s="8" t="s">
        <v>15098</v>
      </c>
    </row>
    <row r="16040" spans="1:2" x14ac:dyDescent="0.3">
      <c r="A16040" s="9" t="str">
        <f>HYPERLINK("http://www.eatonpowersource.com/products/details/70423-306","70423-306")</f>
        <v>70423-306</v>
      </c>
      <c r="B16040" s="10" t="s">
        <v>15098</v>
      </c>
    </row>
    <row r="16041" spans="1:2" x14ac:dyDescent="0.3">
      <c r="A16041" s="7" t="str">
        <f>HYPERLINK("http://www.eatonpowersource.com/products/details/70423-418","70423-418")</f>
        <v>70423-418</v>
      </c>
      <c r="B16041" s="8" t="s">
        <v>15099</v>
      </c>
    </row>
    <row r="16042" spans="1:2" x14ac:dyDescent="0.3">
      <c r="A16042" s="9" t="str">
        <f>HYPERLINK("http://www.eatonpowersource.com/products/details/70423-615","70423-615")</f>
        <v>70423-615</v>
      </c>
      <c r="B16042" s="10" t="s">
        <v>15148</v>
      </c>
    </row>
    <row r="16043" spans="1:2" x14ac:dyDescent="0.3">
      <c r="A16043" s="7" t="str">
        <f>HYPERLINK("http://www.eatonpowersource.com/products/details/70423-617","70423-617")</f>
        <v>70423-617</v>
      </c>
      <c r="B16043" s="8" t="s">
        <v>15093</v>
      </c>
    </row>
    <row r="16044" spans="1:2" x14ac:dyDescent="0.3">
      <c r="A16044" s="9" t="str">
        <f>HYPERLINK("http://www.eatonpowersource.com/products/details/70423-901","70423-901")</f>
        <v>70423-901</v>
      </c>
      <c r="B16044" s="10" t="s">
        <v>15149</v>
      </c>
    </row>
    <row r="16045" spans="1:2" x14ac:dyDescent="0.3">
      <c r="A16045" s="7" t="str">
        <f>HYPERLINK("http://www.eatonpowersource.com/products/details/70440-207","70440-207")</f>
        <v>70440-207</v>
      </c>
      <c r="B16045" s="8" t="s">
        <v>15082</v>
      </c>
    </row>
    <row r="16046" spans="1:2" x14ac:dyDescent="0.3">
      <c r="A16046" s="9" t="str">
        <f>HYPERLINK("http://www.eatonpowersource.com/products/details/70440-212","70440-212")</f>
        <v>70440-212</v>
      </c>
      <c r="B16046" s="10" t="s">
        <v>15150</v>
      </c>
    </row>
    <row r="16047" spans="1:2" x14ac:dyDescent="0.3">
      <c r="A16047" s="7" t="str">
        <f>HYPERLINK("http://www.eatonpowersource.com/products/details/70440-393","70440-393")</f>
        <v>70440-393</v>
      </c>
      <c r="B16047" s="8" t="s">
        <v>15151</v>
      </c>
    </row>
    <row r="16048" spans="1:2" x14ac:dyDescent="0.3">
      <c r="A16048" s="9" t="str">
        <f>HYPERLINK("http://www.eatonpowersource.com/products/details/70442-209","70442-209")</f>
        <v>70442-209</v>
      </c>
      <c r="B16048" s="10" t="s">
        <v>14915</v>
      </c>
    </row>
    <row r="16049" spans="1:2" x14ac:dyDescent="0.3">
      <c r="A16049" s="7" t="str">
        <f>HYPERLINK("http://www.eatonpowersource.com/products/details/70442-225","70442-225")</f>
        <v>70442-225</v>
      </c>
      <c r="B16049" s="8" t="s">
        <v>15102</v>
      </c>
    </row>
    <row r="16050" spans="1:2" x14ac:dyDescent="0.3">
      <c r="A16050" s="9" t="str">
        <f>HYPERLINK("http://www.eatonpowersource.com/products/details/70442-228","70442-228")</f>
        <v>70442-228</v>
      </c>
      <c r="B16050" s="10" t="s">
        <v>15152</v>
      </c>
    </row>
    <row r="16051" spans="1:2" x14ac:dyDescent="0.3">
      <c r="A16051" s="7" t="str">
        <f>HYPERLINK("http://www.eatonpowersource.com/products/details/70442-246","70442-246")</f>
        <v>70442-246</v>
      </c>
      <c r="B16051" s="8" t="s">
        <v>15102</v>
      </c>
    </row>
    <row r="16052" spans="1:2" x14ac:dyDescent="0.3">
      <c r="A16052" s="9" t="str">
        <f>HYPERLINK("http://www.eatonpowersource.com/products/details/70442-248","70442-248")</f>
        <v>70442-248</v>
      </c>
      <c r="B16052" s="10" t="s">
        <v>15082</v>
      </c>
    </row>
    <row r="16053" spans="1:2" x14ac:dyDescent="0.3">
      <c r="A16053" s="7" t="str">
        <f>HYPERLINK("http://www.eatonpowersource.com/products/details/70442-356","70442-356")</f>
        <v>70442-356</v>
      </c>
      <c r="B16053" s="8" t="s">
        <v>15104</v>
      </c>
    </row>
    <row r="16054" spans="1:2" x14ac:dyDescent="0.3">
      <c r="A16054" s="9" t="str">
        <f>HYPERLINK("http://www.eatonpowersource.com/products/details/70442-917","70442-917")</f>
        <v>70442-917</v>
      </c>
      <c r="B16054" s="10" t="s">
        <v>15153</v>
      </c>
    </row>
    <row r="16055" spans="1:2" x14ac:dyDescent="0.3">
      <c r="A16055" s="7" t="str">
        <f>HYPERLINK("http://www.eatonpowersource.com/products/details/70442-929","70442-929")</f>
        <v>70442-929</v>
      </c>
      <c r="B16055" s="8" t="s">
        <v>9798</v>
      </c>
    </row>
    <row r="16056" spans="1:2" x14ac:dyDescent="0.3">
      <c r="A16056" s="9" t="str">
        <f>HYPERLINK("http://www.eatonpowersource.com/products/details/70442-932","70442-932")</f>
        <v>70442-932</v>
      </c>
      <c r="B16056" s="10" t="s">
        <v>15107</v>
      </c>
    </row>
    <row r="16057" spans="1:2" x14ac:dyDescent="0.3">
      <c r="A16057" s="7" t="str">
        <f>HYPERLINK("http://www.eatonpowersource.com/products/details/70452-302","70452-302")</f>
        <v>70452-302</v>
      </c>
      <c r="B16057" s="8" t="s">
        <v>15098</v>
      </c>
    </row>
    <row r="16058" spans="1:2" x14ac:dyDescent="0.3">
      <c r="A16058" s="9" t="str">
        <f>HYPERLINK("http://www.eatonpowersource.com/products/details/70452-304","70452-304")</f>
        <v>70452-304</v>
      </c>
      <c r="B16058" s="10" t="s">
        <v>15098</v>
      </c>
    </row>
    <row r="16059" spans="1:2" x14ac:dyDescent="0.3">
      <c r="A16059" s="7" t="str">
        <f>HYPERLINK("http://www.eatonpowersource.com/products/details/70453-303","70453-303")</f>
        <v>70453-303</v>
      </c>
      <c r="B16059" s="8" t="s">
        <v>15154</v>
      </c>
    </row>
    <row r="16060" spans="1:2" x14ac:dyDescent="0.3">
      <c r="A16060" s="9" t="str">
        <f>HYPERLINK("http://www.eatonpowersource.com/products/details/70453-900","70453-900")</f>
        <v>70453-900</v>
      </c>
      <c r="B16060" s="10" t="s">
        <v>14703</v>
      </c>
    </row>
    <row r="16061" spans="1:2" x14ac:dyDescent="0.3">
      <c r="A16061" s="7" t="str">
        <f>HYPERLINK("http://www.eatonpowersource.com/products/details/70500-100","70500-100")</f>
        <v>70500-100</v>
      </c>
      <c r="B16061" s="8" t="s">
        <v>15155</v>
      </c>
    </row>
    <row r="16062" spans="1:2" x14ac:dyDescent="0.3">
      <c r="A16062" s="9" t="str">
        <f>HYPERLINK("http://www.eatonpowersource.com/products/details/70500-101","70500-101")</f>
        <v>70500-101</v>
      </c>
      <c r="B16062" s="10" t="s">
        <v>15156</v>
      </c>
    </row>
    <row r="16063" spans="1:2" x14ac:dyDescent="0.3">
      <c r="A16063" s="7" t="str">
        <f>HYPERLINK("http://www.eatonpowersource.com/products/details/70500-303","70500-303")</f>
        <v>70500-303</v>
      </c>
      <c r="B16063" s="8" t="s">
        <v>15129</v>
      </c>
    </row>
    <row r="16064" spans="1:2" x14ac:dyDescent="0.3">
      <c r="A16064" s="9" t="str">
        <f>HYPERLINK("http://www.eatonpowersource.com/products/details/70500-600","70500-600")</f>
        <v>70500-600</v>
      </c>
      <c r="B16064" s="10" t="s">
        <v>15157</v>
      </c>
    </row>
    <row r="16065" spans="1:2" x14ac:dyDescent="0.3">
      <c r="A16065" s="7" t="str">
        <f>HYPERLINK("http://www.eatonpowersource.com/products/details/70500-604","70500-604")</f>
        <v>70500-604</v>
      </c>
      <c r="B16065" s="8" t="s">
        <v>10117</v>
      </c>
    </row>
    <row r="16066" spans="1:2" x14ac:dyDescent="0.3">
      <c r="A16066" s="9" t="str">
        <f>HYPERLINK("http://www.eatonpowersource.com/products/details/70502-202","70502-202")</f>
        <v>70502-202</v>
      </c>
      <c r="B16066" s="10" t="s">
        <v>15101</v>
      </c>
    </row>
    <row r="16067" spans="1:2" x14ac:dyDescent="0.3">
      <c r="A16067" s="7" t="str">
        <f>HYPERLINK("http://www.eatonpowersource.com/products/details/70502-606","70502-606")</f>
        <v>70502-606</v>
      </c>
      <c r="B16067" s="8" t="s">
        <v>15093</v>
      </c>
    </row>
    <row r="16068" spans="1:2" x14ac:dyDescent="0.3">
      <c r="A16068" s="9" t="str">
        <f>HYPERLINK("http://www.eatonpowersource.com/products/details/70523-305","70523-305")</f>
        <v>70523-305</v>
      </c>
      <c r="B16068" s="10" t="s">
        <v>15154</v>
      </c>
    </row>
    <row r="16069" spans="1:2" x14ac:dyDescent="0.3">
      <c r="A16069" s="7" t="str">
        <f>HYPERLINK("http://www.eatonpowersource.com/products/details/70523-423","70523-423")</f>
        <v>70523-423</v>
      </c>
      <c r="B16069" s="8" t="s">
        <v>15158</v>
      </c>
    </row>
    <row r="16070" spans="1:2" x14ac:dyDescent="0.3">
      <c r="A16070" s="9" t="str">
        <f>HYPERLINK("http://www.eatonpowersource.com/products/details/70523-610","70523-610")</f>
        <v>70523-610</v>
      </c>
      <c r="B16070" s="10" t="s">
        <v>10117</v>
      </c>
    </row>
    <row r="16071" spans="1:2" x14ac:dyDescent="0.3">
      <c r="A16071" s="7" t="str">
        <f>HYPERLINK("http://www.eatonpowersource.com/products/details/70523-614","70523-614")</f>
        <v>70523-614</v>
      </c>
      <c r="B16071" s="8" t="s">
        <v>10086</v>
      </c>
    </row>
    <row r="16072" spans="1:2" x14ac:dyDescent="0.3">
      <c r="A16072" s="9" t="str">
        <f>HYPERLINK("http://www.eatonpowersource.com/products/details/70523-900","70523-900")</f>
        <v>70523-900</v>
      </c>
      <c r="B16072" s="10" t="s">
        <v>9798</v>
      </c>
    </row>
    <row r="16073" spans="1:2" x14ac:dyDescent="0.3">
      <c r="A16073" s="7" t="str">
        <f>HYPERLINK("http://www.eatonpowersource.com/products/details/70523-902","70523-902")</f>
        <v>70523-902</v>
      </c>
      <c r="B16073" s="8" t="s">
        <v>14835</v>
      </c>
    </row>
    <row r="16074" spans="1:2" x14ac:dyDescent="0.3">
      <c r="A16074" s="9" t="str">
        <f>HYPERLINK("http://www.eatonpowersource.com/products/details/70523-fh-02","70523-FH-02")</f>
        <v>70523-FH-02</v>
      </c>
      <c r="B16074" s="10" t="s">
        <v>15159</v>
      </c>
    </row>
    <row r="16075" spans="1:2" x14ac:dyDescent="0.3">
      <c r="A16075" s="7" t="str">
        <f>HYPERLINK("http://www.eatonpowersource.com/products/details/70523-ft","70523-FT")</f>
        <v>70523-FT</v>
      </c>
      <c r="B16075" s="8" t="s">
        <v>15146</v>
      </c>
    </row>
    <row r="16076" spans="1:2" x14ac:dyDescent="0.3">
      <c r="A16076" s="9" t="str">
        <f>HYPERLINK("http://www.eatonpowersource.com/products/details/70523-fw","70523-FW")</f>
        <v>70523-FW</v>
      </c>
      <c r="B16076" s="10" t="s">
        <v>15160</v>
      </c>
    </row>
    <row r="16077" spans="1:2" x14ac:dyDescent="0.3">
      <c r="A16077" s="7" t="str">
        <f>HYPERLINK("http://www.eatonpowersource.com/products/details/70540-900","70540-900")</f>
        <v>70540-900</v>
      </c>
      <c r="B16077" s="8" t="s">
        <v>15149</v>
      </c>
    </row>
    <row r="16078" spans="1:2" x14ac:dyDescent="0.3">
      <c r="A16078" s="9" t="str">
        <f>HYPERLINK("http://www.eatonpowersource.com/products/details/70540-901","70540-901")</f>
        <v>70540-901</v>
      </c>
      <c r="B16078" s="10" t="s">
        <v>15149</v>
      </c>
    </row>
    <row r="16079" spans="1:2" x14ac:dyDescent="0.3">
      <c r="A16079" s="7" t="str">
        <f>HYPERLINK("http://www.eatonpowersource.com/products/details/70552-200","70552-200")</f>
        <v>70552-200</v>
      </c>
      <c r="B16079" s="8" t="s">
        <v>15082</v>
      </c>
    </row>
    <row r="16080" spans="1:2" x14ac:dyDescent="0.3">
      <c r="A16080" s="9" t="str">
        <f>HYPERLINK("http://www.eatonpowersource.com/products/details/70552-203","70552-203")</f>
        <v>70552-203</v>
      </c>
      <c r="B16080" s="10" t="s">
        <v>15102</v>
      </c>
    </row>
    <row r="16081" spans="1:2" x14ac:dyDescent="0.3">
      <c r="A16081" s="7" t="str">
        <f>HYPERLINK("http://www.eatonpowersource.com/products/details/70553-303","70553-303")</f>
        <v>70553-303</v>
      </c>
      <c r="B16081" s="8" t="s">
        <v>15098</v>
      </c>
    </row>
    <row r="16082" spans="1:2" x14ac:dyDescent="0.3">
      <c r="A16082" s="9" t="str">
        <f>HYPERLINK("http://www.eatonpowersource.com/products/details/70553-305","70553-305")</f>
        <v>70553-305</v>
      </c>
      <c r="B16082" s="10" t="s">
        <v>15098</v>
      </c>
    </row>
    <row r="16083" spans="1:2" x14ac:dyDescent="0.3">
      <c r="A16083" s="7" t="str">
        <f>HYPERLINK("http://www.eatonpowersource.com/products/details/71302-902","71302-902")</f>
        <v>71302-902</v>
      </c>
      <c r="B16083" s="8" t="s">
        <v>15117</v>
      </c>
    </row>
    <row r="16084" spans="1:2" x14ac:dyDescent="0.3">
      <c r="A16084" s="9" t="str">
        <f>HYPERLINK("http://www.eatonpowersource.com/products/details/71402-902","71402-902")</f>
        <v>71402-902</v>
      </c>
      <c r="B16084" s="10" t="s">
        <v>15161</v>
      </c>
    </row>
    <row r="16085" spans="1:2" x14ac:dyDescent="0.3">
      <c r="A16085" s="7" t="str">
        <f>HYPERLINK("http://www.eatonpowersource.com/products/details/71442-900","71442-900")</f>
        <v>71442-900</v>
      </c>
      <c r="B16085" s="8" t="s">
        <v>14835</v>
      </c>
    </row>
    <row r="16086" spans="1:2" x14ac:dyDescent="0.3">
      <c r="A16086" s="9" t="str">
        <f>HYPERLINK("http://www.eatonpowersource.com/products/details/71490-900","71490-900")</f>
        <v>71490-900</v>
      </c>
      <c r="B16086" s="10" t="s">
        <v>14835</v>
      </c>
    </row>
    <row r="16087" spans="1:2" x14ac:dyDescent="0.3">
      <c r="A16087" s="7" t="str">
        <f>HYPERLINK("http://www.eatonpowersource.com/products/details/72149-000","72149-000")</f>
        <v>72149-000</v>
      </c>
      <c r="B16087" s="8" t="s">
        <v>15162</v>
      </c>
    </row>
    <row r="16088" spans="1:2" x14ac:dyDescent="0.3">
      <c r="A16088" s="9" t="str">
        <f>HYPERLINK("http://www.eatonpowersource.com/products/details/72184-000","72184-000")</f>
        <v>72184-000</v>
      </c>
      <c r="B16088" s="10" t="s">
        <v>15163</v>
      </c>
    </row>
    <row r="16089" spans="1:2" x14ac:dyDescent="0.3">
      <c r="A16089" s="7" t="str">
        <f>HYPERLINK("http://www.eatonpowersource.com/products/details/72319-001","72319-001")</f>
        <v>72319-001</v>
      </c>
      <c r="B16089" s="8" t="s">
        <v>15164</v>
      </c>
    </row>
    <row r="16090" spans="1:2" x14ac:dyDescent="0.3">
      <c r="A16090" s="9" t="str">
        <f>HYPERLINK("http://www.eatonpowersource.com/products/details/72319-002","72319-002")</f>
        <v>72319-002</v>
      </c>
      <c r="B16090" s="10" t="s">
        <v>15165</v>
      </c>
    </row>
    <row r="16091" spans="1:2" x14ac:dyDescent="0.3">
      <c r="A16091" s="7" t="str">
        <f>HYPERLINK("http://www.eatonpowersource.com/products/details/72348-011","72348-011")</f>
        <v>72348-011</v>
      </c>
      <c r="B16091" s="8" t="s">
        <v>15104</v>
      </c>
    </row>
    <row r="16092" spans="1:2" x14ac:dyDescent="0.3">
      <c r="A16092" s="9" t="str">
        <f>HYPERLINK("http://www.eatonpowersource.com/products/details/72348-028","72348-028")</f>
        <v>72348-028</v>
      </c>
      <c r="B16092" s="10" t="s">
        <v>15166</v>
      </c>
    </row>
    <row r="16093" spans="1:2" x14ac:dyDescent="0.3">
      <c r="A16093" s="7" t="str">
        <f>HYPERLINK("http://www.eatonpowersource.com/products/details/72356-010","72356-010")</f>
        <v>72356-010</v>
      </c>
      <c r="B16093" s="8" t="s">
        <v>15167</v>
      </c>
    </row>
    <row r="16094" spans="1:2" x14ac:dyDescent="0.3">
      <c r="A16094" s="9" t="str">
        <f>HYPERLINK("http://www.eatonpowersource.com/products/details/72356-011","72356-011")</f>
        <v>72356-011</v>
      </c>
      <c r="B16094" s="10" t="s">
        <v>15104</v>
      </c>
    </row>
    <row r="16095" spans="1:2" x14ac:dyDescent="0.3">
      <c r="A16095" s="7" t="str">
        <f>HYPERLINK("http://www.eatonpowersource.com/products/details/72356-017","72356-017")</f>
        <v>72356-017</v>
      </c>
      <c r="B16095" s="8" t="s">
        <v>15168</v>
      </c>
    </row>
    <row r="16096" spans="1:2" x14ac:dyDescent="0.3">
      <c r="A16096" s="9" t="str">
        <f>HYPERLINK("http://www.eatonpowersource.com/products/details/72358-008","72358-008")</f>
        <v>72358-008</v>
      </c>
      <c r="B16096" s="10" t="s">
        <v>15104</v>
      </c>
    </row>
    <row r="16097" spans="1:2" x14ac:dyDescent="0.3">
      <c r="A16097" s="7" t="str">
        <f>HYPERLINK("http://www.eatonpowersource.com/products/details/72358-010","72358-010")</f>
        <v>72358-010</v>
      </c>
      <c r="B16097" s="8" t="s">
        <v>15169</v>
      </c>
    </row>
    <row r="16098" spans="1:2" x14ac:dyDescent="0.3">
      <c r="A16098" s="9" t="str">
        <f>HYPERLINK("http://www.eatonpowersource.com/products/details/72358-011","72358-011")</f>
        <v>72358-011</v>
      </c>
      <c r="B16098" s="10" t="s">
        <v>15170</v>
      </c>
    </row>
    <row r="16099" spans="1:2" x14ac:dyDescent="0.3">
      <c r="A16099" s="7" t="str">
        <f>HYPERLINK("http://www.eatonpowersource.com/products/details/72360-010","72360-010")</f>
        <v>72360-010</v>
      </c>
      <c r="B16099" s="8" t="s">
        <v>15104</v>
      </c>
    </row>
    <row r="16100" spans="1:2" x14ac:dyDescent="0.3">
      <c r="A16100" s="9" t="str">
        <f>HYPERLINK("http://www.eatonpowersource.com/products/details/72373-001","72373-001")</f>
        <v>72373-001</v>
      </c>
      <c r="B16100" s="10" t="s">
        <v>15171</v>
      </c>
    </row>
    <row r="16101" spans="1:2" x14ac:dyDescent="0.3">
      <c r="A16101" s="7" t="str">
        <f>HYPERLINK("http://www.eatonpowersource.com/products/details/72400-200","72400-200")</f>
        <v>72400-200</v>
      </c>
      <c r="B16101" s="8" t="s">
        <v>10113</v>
      </c>
    </row>
    <row r="16102" spans="1:2" x14ac:dyDescent="0.3">
      <c r="A16102" s="9" t="str">
        <f>HYPERLINK("http://www.eatonpowersource.com/products/details/72400-201","72400-201")</f>
        <v>72400-201</v>
      </c>
      <c r="B16102" s="10" t="s">
        <v>14496</v>
      </c>
    </row>
    <row r="16103" spans="1:2" x14ac:dyDescent="0.3">
      <c r="A16103" s="7" t="str">
        <f>HYPERLINK("http://www.eatonpowersource.com/products/details/72400-202","72400-202")</f>
        <v>72400-202</v>
      </c>
      <c r="B16103" s="8" t="s">
        <v>15102</v>
      </c>
    </row>
    <row r="16104" spans="1:2" x14ac:dyDescent="0.3">
      <c r="A16104" s="9" t="str">
        <f>HYPERLINK("http://www.eatonpowersource.com/products/details/72400-204","72400-204")</f>
        <v>72400-204</v>
      </c>
      <c r="B16104" s="10" t="s">
        <v>15082</v>
      </c>
    </row>
    <row r="16105" spans="1:2" x14ac:dyDescent="0.3">
      <c r="A16105" s="7" t="str">
        <f>HYPERLINK("http://www.eatonpowersource.com/products/details/72400-211","72400-211")</f>
        <v>72400-211</v>
      </c>
      <c r="B16105" s="8" t="s">
        <v>15082</v>
      </c>
    </row>
    <row r="16106" spans="1:2" x14ac:dyDescent="0.3">
      <c r="A16106" s="9" t="str">
        <f>HYPERLINK("http://www.eatonpowersource.com/products/details/72400-212","72400-212")</f>
        <v>72400-212</v>
      </c>
      <c r="B16106" s="10" t="s">
        <v>14915</v>
      </c>
    </row>
    <row r="16107" spans="1:2" x14ac:dyDescent="0.3">
      <c r="A16107" s="7" t="str">
        <f>HYPERLINK("http://www.eatonpowersource.com/products/details/72400-224","72400-224")</f>
        <v>72400-224</v>
      </c>
      <c r="B16107" s="8" t="s">
        <v>14496</v>
      </c>
    </row>
    <row r="16108" spans="1:2" x14ac:dyDescent="0.3">
      <c r="A16108" s="9" t="str">
        <f>HYPERLINK("http://www.eatonpowersource.com/products/details/72400-502","72400-502")</f>
        <v>72400-502</v>
      </c>
      <c r="B16108" s="10" t="s">
        <v>15172</v>
      </c>
    </row>
    <row r="16109" spans="1:2" x14ac:dyDescent="0.3">
      <c r="A16109" s="7" t="str">
        <f>HYPERLINK("http://www.eatonpowersource.com/products/details/72400-505","72400-505")</f>
        <v>72400-505</v>
      </c>
      <c r="B16109" s="8" t="s">
        <v>15173</v>
      </c>
    </row>
    <row r="16110" spans="1:2" x14ac:dyDescent="0.3">
      <c r="A16110" s="9" t="str">
        <f>HYPERLINK("http://www.eatonpowersource.com/products/details/72400-507","72400-507")</f>
        <v>72400-507</v>
      </c>
      <c r="B16110" s="10" t="s">
        <v>15174</v>
      </c>
    </row>
    <row r="16111" spans="1:2" x14ac:dyDescent="0.3">
      <c r="A16111" s="7" t="str">
        <f>HYPERLINK("http://www.eatonpowersource.com/products/details/72400-519","72400-519")</f>
        <v>72400-519</v>
      </c>
      <c r="B16111" s="8" t="s">
        <v>15175</v>
      </c>
    </row>
    <row r="16112" spans="1:2" x14ac:dyDescent="0.3">
      <c r="A16112" s="9" t="str">
        <f>HYPERLINK("http://www.eatonpowersource.com/products/details/72400-521","72400-521")</f>
        <v>72400-521</v>
      </c>
      <c r="B16112" s="10" t="s">
        <v>15176</v>
      </c>
    </row>
    <row r="16113" spans="1:2" x14ac:dyDescent="0.3">
      <c r="A16113" s="7" t="str">
        <f>HYPERLINK("http://www.eatonpowersource.com/products/details/72400-544","72400-544")</f>
        <v>72400-544</v>
      </c>
      <c r="B16113" s="8" t="s">
        <v>15177</v>
      </c>
    </row>
    <row r="16114" spans="1:2" x14ac:dyDescent="0.3">
      <c r="A16114" s="9" t="str">
        <f>HYPERLINK("http://www.eatonpowersource.com/products/details/72400-583","72400-583")</f>
        <v>72400-583</v>
      </c>
      <c r="B16114" s="10" t="s">
        <v>15178</v>
      </c>
    </row>
    <row r="16115" spans="1:2" x14ac:dyDescent="0.3">
      <c r="A16115" s="7" t="str">
        <f>HYPERLINK("http://www.eatonpowersource.com/products/details/72400-585","72400-585")</f>
        <v>72400-585</v>
      </c>
      <c r="B16115" s="8" t="s">
        <v>15179</v>
      </c>
    </row>
    <row r="16116" spans="1:2" x14ac:dyDescent="0.3">
      <c r="A16116" s="9" t="str">
        <f>HYPERLINK("http://www.eatonpowersource.com/products/details/72400-620","72400-620")</f>
        <v>72400-620</v>
      </c>
      <c r="B16116" s="10" t="s">
        <v>15180</v>
      </c>
    </row>
    <row r="16117" spans="1:2" x14ac:dyDescent="0.3">
      <c r="A16117" s="7" t="str">
        <f>HYPERLINK("http://www.eatonpowersource.com/products/details/72400-621","72400-621")</f>
        <v>72400-621</v>
      </c>
      <c r="B16117" s="8" t="s">
        <v>15181</v>
      </c>
    </row>
    <row r="16118" spans="1:2" x14ac:dyDescent="0.3">
      <c r="A16118" s="9" t="str">
        <f>HYPERLINK("http://www.eatonpowersource.com/products/details/72400-626","72400-626")</f>
        <v>72400-626</v>
      </c>
      <c r="B16118" s="10" t="s">
        <v>10208</v>
      </c>
    </row>
    <row r="16119" spans="1:2" x14ac:dyDescent="0.3">
      <c r="A16119" s="7" t="str">
        <f>HYPERLINK("http://www.eatonpowersource.com/products/details/72400-637","72400-637")</f>
        <v>72400-637</v>
      </c>
      <c r="B16119" s="8" t="s">
        <v>15182</v>
      </c>
    </row>
    <row r="16120" spans="1:2" x14ac:dyDescent="0.3">
      <c r="A16120" s="9" t="str">
        <f>HYPERLINK("http://www.eatonpowersource.com/products/details/72400-638","72400-638")</f>
        <v>72400-638</v>
      </c>
      <c r="B16120" s="10" t="s">
        <v>15183</v>
      </c>
    </row>
    <row r="16121" spans="1:2" x14ac:dyDescent="0.3">
      <c r="A16121" s="7" t="str">
        <f>HYPERLINK("http://www.eatonpowersource.com/products/details/72400-639","72400-639")</f>
        <v>72400-639</v>
      </c>
      <c r="B16121" s="8" t="s">
        <v>15184</v>
      </c>
    </row>
    <row r="16122" spans="1:2" x14ac:dyDescent="0.3">
      <c r="A16122" s="9" t="str">
        <f>HYPERLINK("http://www.eatonpowersource.com/products/details/72400-646","72400-646")</f>
        <v>72400-646</v>
      </c>
      <c r="B16122" s="10" t="s">
        <v>15185</v>
      </c>
    </row>
    <row r="16123" spans="1:2" x14ac:dyDescent="0.3">
      <c r="A16123" s="7" t="str">
        <f>HYPERLINK("http://www.eatonpowersource.com/products/details/72400-651","72400-651")</f>
        <v>72400-651</v>
      </c>
      <c r="B16123" s="8" t="s">
        <v>15110</v>
      </c>
    </row>
    <row r="16124" spans="1:2" x14ac:dyDescent="0.3">
      <c r="A16124" s="9" t="str">
        <f>HYPERLINK("http://www.eatonpowersource.com/products/details/72400-659","72400-659")</f>
        <v>72400-659</v>
      </c>
      <c r="B16124" s="10" t="s">
        <v>15186</v>
      </c>
    </row>
    <row r="16125" spans="1:2" x14ac:dyDescent="0.3">
      <c r="A16125" s="7" t="str">
        <f>HYPERLINK("http://www.eatonpowersource.com/products/details/72400-677","72400-677")</f>
        <v>72400-677</v>
      </c>
      <c r="B16125" s="8" t="s">
        <v>15187</v>
      </c>
    </row>
    <row r="16126" spans="1:2" x14ac:dyDescent="0.3">
      <c r="A16126" s="9" t="str">
        <f>HYPERLINK("http://www.eatonpowersource.com/products/details/72400-682","72400-682")</f>
        <v>72400-682</v>
      </c>
      <c r="B16126" s="10" t="s">
        <v>10079</v>
      </c>
    </row>
    <row r="16127" spans="1:2" x14ac:dyDescent="0.3">
      <c r="A16127" s="7" t="str">
        <f>HYPERLINK("http://www.eatonpowersource.com/products/details/72400-684","72400-684")</f>
        <v>72400-684</v>
      </c>
      <c r="B16127" s="8" t="s">
        <v>14450</v>
      </c>
    </row>
    <row r="16128" spans="1:2" x14ac:dyDescent="0.3">
      <c r="A16128" s="9" t="str">
        <f>HYPERLINK("http://www.eatonpowersource.com/products/details/72400-722","72400-722")</f>
        <v>72400-722</v>
      </c>
      <c r="B16128" s="10" t="s">
        <v>15188</v>
      </c>
    </row>
    <row r="16129" spans="1:2" x14ac:dyDescent="0.3">
      <c r="A16129" s="7" t="str">
        <f>HYPERLINK("http://www.eatonpowersource.com/products/details/72400-744","72400-744")</f>
        <v>72400-744</v>
      </c>
      <c r="B16129" s="8" t="s">
        <v>15189</v>
      </c>
    </row>
    <row r="16130" spans="1:2" x14ac:dyDescent="0.3">
      <c r="A16130" s="9" t="str">
        <f>HYPERLINK("http://www.eatonpowersource.com/products/details/72400-746","72400-746")</f>
        <v>72400-746</v>
      </c>
      <c r="B16130" s="10" t="s">
        <v>15190</v>
      </c>
    </row>
    <row r="16131" spans="1:2" x14ac:dyDescent="0.3">
      <c r="A16131" s="7" t="str">
        <f>HYPERLINK("http://www.eatonpowersource.com/products/details/72400-770","72400-770")</f>
        <v>72400-770</v>
      </c>
      <c r="B16131" s="8" t="s">
        <v>14643</v>
      </c>
    </row>
    <row r="16132" spans="1:2" x14ac:dyDescent="0.3">
      <c r="A16132" s="9" t="str">
        <f>HYPERLINK("http://www.eatonpowersource.com/products/details/72400-902","72400-902")</f>
        <v>72400-902</v>
      </c>
      <c r="B16132" s="10" t="s">
        <v>15191</v>
      </c>
    </row>
    <row r="16133" spans="1:2" x14ac:dyDescent="0.3">
      <c r="A16133" s="7" t="str">
        <f>HYPERLINK("http://www.eatonpowersource.com/products/details/72400-903","72400-903")</f>
        <v>72400-903</v>
      </c>
      <c r="B16133" s="8" t="s">
        <v>9798</v>
      </c>
    </row>
    <row r="16134" spans="1:2" x14ac:dyDescent="0.3">
      <c r="A16134" s="9" t="str">
        <f>HYPERLINK("http://www.eatonpowersource.com/products/details/72400-904","72400-904")</f>
        <v>72400-904</v>
      </c>
      <c r="B16134" s="10" t="s">
        <v>15192</v>
      </c>
    </row>
    <row r="16135" spans="1:2" x14ac:dyDescent="0.3">
      <c r="A16135" s="7" t="str">
        <f>HYPERLINK("http://www.eatonpowersource.com/products/details/72400-908","72400-908")</f>
        <v>72400-908</v>
      </c>
      <c r="B16135" s="8" t="s">
        <v>15193</v>
      </c>
    </row>
    <row r="16136" spans="1:2" x14ac:dyDescent="0.3">
      <c r="A16136" s="9" t="str">
        <f>HYPERLINK("http://www.eatonpowersource.com/products/details/72400-909","72400-909")</f>
        <v>72400-909</v>
      </c>
      <c r="B16136" s="10" t="s">
        <v>15117</v>
      </c>
    </row>
    <row r="16137" spans="1:2" x14ac:dyDescent="0.3">
      <c r="A16137" s="7" t="str">
        <f>HYPERLINK("http://www.eatonpowersource.com/products/details/72400-916","72400-916")</f>
        <v>72400-916</v>
      </c>
      <c r="B16137" s="8" t="s">
        <v>2797</v>
      </c>
    </row>
    <row r="16138" spans="1:2" x14ac:dyDescent="0.3">
      <c r="A16138" s="9" t="str">
        <f>HYPERLINK("http://www.eatonpowersource.com/products/details/72400-919","72400-919")</f>
        <v>72400-919</v>
      </c>
      <c r="B16138" s="10" t="s">
        <v>15194</v>
      </c>
    </row>
    <row r="16139" spans="1:2" x14ac:dyDescent="0.3">
      <c r="A16139" s="7" t="str">
        <f>HYPERLINK("http://www.eatonpowersource.com/products/details/72400-940","72400-940")</f>
        <v>72400-940</v>
      </c>
      <c r="B16139" s="8" t="s">
        <v>15195</v>
      </c>
    </row>
    <row r="16140" spans="1:2" x14ac:dyDescent="0.3">
      <c r="A16140" s="9" t="str">
        <f>HYPERLINK("http://www.eatonpowersource.com/products/details/72401-502","72401-502")</f>
        <v>72401-502</v>
      </c>
      <c r="B16140" s="10" t="s">
        <v>15173</v>
      </c>
    </row>
    <row r="16141" spans="1:2" x14ac:dyDescent="0.3">
      <c r="A16141" s="7" t="str">
        <f>HYPERLINK("http://www.eatonpowersource.com/products/details/72401-503","72401-503")</f>
        <v>72401-503</v>
      </c>
      <c r="B16141" s="8" t="s">
        <v>15196</v>
      </c>
    </row>
    <row r="16142" spans="1:2" x14ac:dyDescent="0.3">
      <c r="A16142" s="9" t="str">
        <f>HYPERLINK("http://www.eatonpowersource.com/products/details/72401-aa","72401-AA")</f>
        <v>72401-AA</v>
      </c>
      <c r="B16142" s="10" t="s">
        <v>15197</v>
      </c>
    </row>
    <row r="16143" spans="1:2" x14ac:dyDescent="0.3">
      <c r="A16143" s="7" t="str">
        <f>HYPERLINK("http://www.eatonpowersource.com/products/details/72401-al","72401-AL")</f>
        <v>72401-AL</v>
      </c>
      <c r="B16143" s="8" t="s">
        <v>15198</v>
      </c>
    </row>
    <row r="16144" spans="1:2" x14ac:dyDescent="0.3">
      <c r="A16144" s="9" t="str">
        <f>HYPERLINK("http://www.eatonpowersource.com/products/details/72401-as","72401-AS")</f>
        <v>72401-AS</v>
      </c>
      <c r="B16144" s="10" t="s">
        <v>15199</v>
      </c>
    </row>
    <row r="16145" spans="1:2" x14ac:dyDescent="0.3">
      <c r="A16145" s="7" t="str">
        <f>HYPERLINK("http://www.eatonpowersource.com/products/details/72402-ac","72402-AC")</f>
        <v>72402-AC</v>
      </c>
      <c r="B16145" s="8" t="s">
        <v>15200</v>
      </c>
    </row>
    <row r="16146" spans="1:2" x14ac:dyDescent="0.3">
      <c r="A16146" s="9" t="str">
        <f>HYPERLINK("http://www.eatonpowersource.com/products/details/72450-900","72450-900")</f>
        <v>72450-900</v>
      </c>
      <c r="B16146" s="10" t="s">
        <v>15117</v>
      </c>
    </row>
    <row r="16147" spans="1:2" x14ac:dyDescent="0.3">
      <c r="A16147" s="7" t="str">
        <f>HYPERLINK("http://www.eatonpowersource.com/products/details/73100-201","73100-201")</f>
        <v>73100-201</v>
      </c>
      <c r="B16147" s="8" t="s">
        <v>10113</v>
      </c>
    </row>
    <row r="16148" spans="1:2" x14ac:dyDescent="0.3">
      <c r="A16148" s="9" t="str">
        <f>HYPERLINK("http://www.eatonpowersource.com/products/details/73100-203","73100-203")</f>
        <v>73100-203</v>
      </c>
      <c r="B16148" s="10" t="s">
        <v>15201</v>
      </c>
    </row>
    <row r="16149" spans="1:2" x14ac:dyDescent="0.3">
      <c r="A16149" s="7" t="str">
        <f>HYPERLINK("http://www.eatonpowersource.com/products/details/73400-605","73400-605")</f>
        <v>73400-605</v>
      </c>
      <c r="B16149" s="8" t="s">
        <v>15109</v>
      </c>
    </row>
    <row r="16150" spans="1:2" x14ac:dyDescent="0.3">
      <c r="A16150" s="9" t="str">
        <f>HYPERLINK("http://www.eatonpowersource.com/products/details/73410-201","73410-201")</f>
        <v>73410-201</v>
      </c>
      <c r="B16150" s="10" t="s">
        <v>15082</v>
      </c>
    </row>
    <row r="16151" spans="1:2" x14ac:dyDescent="0.3">
      <c r="A16151" s="7" t="str">
        <f>HYPERLINK("http://www.eatonpowersource.com/products/details/73410-202","73410-202")</f>
        <v>73410-202</v>
      </c>
      <c r="B16151" s="8" t="s">
        <v>15082</v>
      </c>
    </row>
    <row r="16152" spans="1:2" x14ac:dyDescent="0.3">
      <c r="A16152" s="9" t="str">
        <f>HYPERLINK("http://www.eatonpowersource.com/products/details/73410-205","73410-205")</f>
        <v>73410-205</v>
      </c>
      <c r="B16152" s="10" t="s">
        <v>15201</v>
      </c>
    </row>
    <row r="16153" spans="1:2" x14ac:dyDescent="0.3">
      <c r="A16153" s="7" t="str">
        <f>HYPERLINK("http://www.eatonpowersource.com/products/details/73410-211","73410-211")</f>
        <v>73410-211</v>
      </c>
      <c r="B16153" s="8" t="s">
        <v>15201</v>
      </c>
    </row>
    <row r="16154" spans="1:2" x14ac:dyDescent="0.3">
      <c r="A16154" s="9" t="str">
        <f>HYPERLINK("http://www.eatonpowersource.com/products/details/73410-226","73410-226")</f>
        <v>73410-226</v>
      </c>
      <c r="B16154" s="10" t="s">
        <v>15201</v>
      </c>
    </row>
    <row r="16155" spans="1:2" x14ac:dyDescent="0.3">
      <c r="A16155" s="7" t="str">
        <f>HYPERLINK("http://www.eatonpowersource.com/products/details/73410-229","73410-229")</f>
        <v>73410-229</v>
      </c>
      <c r="B16155" s="8" t="s">
        <v>15202</v>
      </c>
    </row>
    <row r="16156" spans="1:2" x14ac:dyDescent="0.3">
      <c r="A16156" s="9" t="str">
        <f>HYPERLINK("http://www.eatonpowersource.com/products/details/73418-303","73418-303")</f>
        <v>73418-303</v>
      </c>
      <c r="B16156" s="10" t="s">
        <v>15129</v>
      </c>
    </row>
    <row r="16157" spans="1:2" x14ac:dyDescent="0.3">
      <c r="A16157" s="7" t="str">
        <f>HYPERLINK("http://www.eatonpowersource.com/products/details/73418-305","73418-305")</f>
        <v>73418-305</v>
      </c>
      <c r="B16157" s="8" t="s">
        <v>15203</v>
      </c>
    </row>
    <row r="16158" spans="1:2" x14ac:dyDescent="0.3">
      <c r="A16158" s="9" t="str">
        <f>HYPERLINK("http://www.eatonpowersource.com/products/details/73418-321","73418-321")</f>
        <v>73418-321</v>
      </c>
      <c r="B16158" s="10" t="s">
        <v>15129</v>
      </c>
    </row>
    <row r="16159" spans="1:2" x14ac:dyDescent="0.3">
      <c r="A16159" s="7" t="str">
        <f>HYPERLINK("http://www.eatonpowersource.com/products/details/7358-000","7358-000")</f>
        <v>7358-000</v>
      </c>
      <c r="B16159" s="8" t="s">
        <v>14777</v>
      </c>
    </row>
    <row r="16160" spans="1:2" x14ac:dyDescent="0.3">
      <c r="A16160" s="9" t="str">
        <f>HYPERLINK("http://www.eatonpowersource.com/products/details/7360-001","7360-001")</f>
        <v>7360-001</v>
      </c>
      <c r="B16160" s="10" t="s">
        <v>14666</v>
      </c>
    </row>
    <row r="16161" spans="1:2" x14ac:dyDescent="0.3">
      <c r="A16161" s="7" t="str">
        <f>HYPERLINK("http://www.eatonpowersource.com/products/details/7360-002","7360-002")</f>
        <v>7360-002</v>
      </c>
      <c r="B16161" s="8" t="s">
        <v>14667</v>
      </c>
    </row>
    <row r="16162" spans="1:2" x14ac:dyDescent="0.3">
      <c r="A16162" s="9" t="str">
        <f>HYPERLINK("http://www.eatonpowersource.com/products/details/7360-007","7360-007")</f>
        <v>7360-007</v>
      </c>
      <c r="B16162" s="10" t="s">
        <v>15204</v>
      </c>
    </row>
    <row r="16163" spans="1:2" x14ac:dyDescent="0.3">
      <c r="A16163" s="7" t="str">
        <f>HYPERLINK("http://www.eatonpowersource.com/products/details/7360-008","7360-008")</f>
        <v>7360-008</v>
      </c>
      <c r="B16163" s="8" t="s">
        <v>15205</v>
      </c>
    </row>
    <row r="16164" spans="1:2" x14ac:dyDescent="0.3">
      <c r="A16164" s="9" t="str">
        <f>HYPERLINK("http://www.eatonpowersource.com/products/details/7360-016","7360-016")</f>
        <v>7360-016</v>
      </c>
      <c r="B16164" s="10" t="s">
        <v>15206</v>
      </c>
    </row>
    <row r="16165" spans="1:2" x14ac:dyDescent="0.3">
      <c r="A16165" s="7" t="str">
        <f>HYPERLINK("http://www.eatonpowersource.com/products/details/7360-018","7360-018")</f>
        <v>7360-018</v>
      </c>
      <c r="B16165" s="8" t="s">
        <v>15207</v>
      </c>
    </row>
    <row r="16166" spans="1:2" x14ac:dyDescent="0.3">
      <c r="A16166" s="9" t="str">
        <f>HYPERLINK("http://www.eatonpowersource.com/products/details/7360-024","7360-024")</f>
        <v>7360-024</v>
      </c>
      <c r="B16166" s="10" t="s">
        <v>15208</v>
      </c>
    </row>
    <row r="16167" spans="1:2" x14ac:dyDescent="0.3">
      <c r="A16167" s="7" t="str">
        <f>HYPERLINK("http://www.eatonpowersource.com/products/details/7360-029","7360-029")</f>
        <v>7360-029</v>
      </c>
      <c r="B16167" s="8" t="s">
        <v>14661</v>
      </c>
    </row>
    <row r="16168" spans="1:2" x14ac:dyDescent="0.3">
      <c r="A16168" s="9" t="str">
        <f>HYPERLINK("http://www.eatonpowersource.com/products/details/7360-039","7360-039")</f>
        <v>7360-039</v>
      </c>
      <c r="B16168" s="10" t="s">
        <v>15209</v>
      </c>
    </row>
    <row r="16169" spans="1:2" x14ac:dyDescent="0.3">
      <c r="A16169" s="7" t="str">
        <f>HYPERLINK("http://www.eatonpowersource.com/products/details/7360-049","7360-049")</f>
        <v>7360-049</v>
      </c>
      <c r="B16169" s="8" t="s">
        <v>14661</v>
      </c>
    </row>
    <row r="16170" spans="1:2" x14ac:dyDescent="0.3">
      <c r="A16170" s="9" t="str">
        <f>HYPERLINK("http://www.eatonpowersource.com/products/details/7382-000","7382-000")</f>
        <v>7382-000</v>
      </c>
      <c r="B16170" s="10" t="s">
        <v>15210</v>
      </c>
    </row>
    <row r="16171" spans="1:2" x14ac:dyDescent="0.3">
      <c r="A16171" s="7" t="str">
        <f>HYPERLINK("http://www.eatonpowersource.com/products/details/7383-000","7383-000")</f>
        <v>7383-000</v>
      </c>
      <c r="B16171" s="8" t="s">
        <v>15211</v>
      </c>
    </row>
    <row r="16172" spans="1:2" x14ac:dyDescent="0.3">
      <c r="A16172" s="9" t="str">
        <f>HYPERLINK("http://www.eatonpowersource.com/products/details/74100-609","74100-609")</f>
        <v>74100-609</v>
      </c>
      <c r="B16172" s="10" t="s">
        <v>15114</v>
      </c>
    </row>
    <row r="16173" spans="1:2" x14ac:dyDescent="0.3">
      <c r="A16173" s="7" t="str">
        <f>HYPERLINK("http://www.eatonpowersource.com/products/details/74100-904","74100-904")</f>
        <v>74100-904</v>
      </c>
      <c r="B16173" s="8" t="s">
        <v>14835</v>
      </c>
    </row>
    <row r="16174" spans="1:2" x14ac:dyDescent="0.3">
      <c r="A16174" s="9" t="str">
        <f>HYPERLINK("http://www.eatonpowersource.com/products/details/74308-100","74308-100")</f>
        <v>74308-100</v>
      </c>
      <c r="B16174" s="10" t="s">
        <v>15212</v>
      </c>
    </row>
    <row r="16175" spans="1:2" x14ac:dyDescent="0.3">
      <c r="A16175" s="7" t="str">
        <f>HYPERLINK("http://www.eatonpowersource.com/products/details/74308-101","74308-101")</f>
        <v>74308-101</v>
      </c>
      <c r="B16175" s="8" t="s">
        <v>10041</v>
      </c>
    </row>
    <row r="16176" spans="1:2" x14ac:dyDescent="0.3">
      <c r="A16176" s="9" t="str">
        <f>HYPERLINK("http://www.eatonpowersource.com/products/details/74308-50","74308-50")</f>
        <v>74308-50</v>
      </c>
      <c r="B16176" s="10" t="s">
        <v>10259</v>
      </c>
    </row>
    <row r="16177" spans="1:2" x14ac:dyDescent="0.3">
      <c r="A16177" s="7" t="str">
        <f>HYPERLINK("http://www.eatonpowersource.com/products/details/74308-52","74308-52")</f>
        <v>74308-52</v>
      </c>
      <c r="B16177" s="8" t="s">
        <v>15213</v>
      </c>
    </row>
    <row r="16178" spans="1:2" x14ac:dyDescent="0.3">
      <c r="A16178" s="9" t="str">
        <f>HYPERLINK("http://www.eatonpowersource.com/products/details/74308-614","74308-614")</f>
        <v>74308-614</v>
      </c>
      <c r="B16178" s="10" t="s">
        <v>15214</v>
      </c>
    </row>
    <row r="16179" spans="1:2" x14ac:dyDescent="0.3">
      <c r="A16179" s="7" t="str">
        <f>HYPERLINK("http://www.eatonpowersource.com/products/details/74415-902","74415-902")</f>
        <v>74415-902</v>
      </c>
      <c r="B16179" s="8" t="s">
        <v>15117</v>
      </c>
    </row>
    <row r="16180" spans="1:2" x14ac:dyDescent="0.3">
      <c r="A16180" s="9" t="str">
        <f>HYPERLINK("http://www.eatonpowersource.com/products/details/74415-903","74415-903")</f>
        <v>74415-903</v>
      </c>
      <c r="B16180" s="10" t="s">
        <v>15117</v>
      </c>
    </row>
    <row r="16181" spans="1:2" x14ac:dyDescent="0.3">
      <c r="A16181" s="7" t="str">
        <f>HYPERLINK("http://www.eatonpowersource.com/products/details/74415-906","74415-906")</f>
        <v>74415-906</v>
      </c>
      <c r="B16181" s="8" t="s">
        <v>14835</v>
      </c>
    </row>
    <row r="16182" spans="1:2" x14ac:dyDescent="0.3">
      <c r="A16182" s="9" t="str">
        <f>HYPERLINK("http://www.eatonpowersource.com/products/details/74418-904","74418-904")</f>
        <v>74418-904</v>
      </c>
      <c r="B16182" s="10" t="s">
        <v>15107</v>
      </c>
    </row>
    <row r="16183" spans="1:2" x14ac:dyDescent="0.3">
      <c r="A16183" s="7" t="str">
        <f>HYPERLINK("http://www.eatonpowersource.com/products/details/74418-909","74418-909")</f>
        <v>74418-909</v>
      </c>
      <c r="B16183" s="8" t="s">
        <v>9798</v>
      </c>
    </row>
    <row r="16184" spans="1:2" x14ac:dyDescent="0.3">
      <c r="A16184" s="9" t="str">
        <f>HYPERLINK("http://www.eatonpowersource.com/products/details/74448-900","74448-900")</f>
        <v>74448-900</v>
      </c>
      <c r="B16184" s="10" t="s">
        <v>14835</v>
      </c>
    </row>
    <row r="16185" spans="1:2" x14ac:dyDescent="0.3">
      <c r="A16185" s="7" t="str">
        <f>HYPERLINK("http://www.eatonpowersource.com/products/details/74600-110","74600-110")</f>
        <v>74600-110</v>
      </c>
      <c r="B16185" s="8" t="s">
        <v>15215</v>
      </c>
    </row>
    <row r="16186" spans="1:2" x14ac:dyDescent="0.3">
      <c r="A16186" s="9" t="str">
        <f>HYPERLINK("http://www.eatonpowersource.com/products/details/74600-153","74600-153")</f>
        <v>74600-153</v>
      </c>
      <c r="B16186" s="10" t="s">
        <v>15216</v>
      </c>
    </row>
    <row r="16187" spans="1:2" x14ac:dyDescent="0.3">
      <c r="A16187" s="7" t="str">
        <f>HYPERLINK("http://www.eatonpowersource.com/products/details/74600-600","74600-600")</f>
        <v>74600-600</v>
      </c>
      <c r="B16187" s="8" t="s">
        <v>15138</v>
      </c>
    </row>
    <row r="16188" spans="1:2" x14ac:dyDescent="0.3">
      <c r="A16188" s="9" t="str">
        <f>HYPERLINK("http://www.eatonpowersource.com/products/details/74600-601","74600-601")</f>
        <v>74600-601</v>
      </c>
      <c r="B16188" s="10" t="s">
        <v>15217</v>
      </c>
    </row>
    <row r="16189" spans="1:2" x14ac:dyDescent="0.3">
      <c r="A16189" s="7" t="str">
        <f>HYPERLINK("http://www.eatonpowersource.com/products/details/74600-614","74600-614")</f>
        <v>74600-614</v>
      </c>
      <c r="B16189" s="8" t="s">
        <v>15218</v>
      </c>
    </row>
    <row r="16190" spans="1:2" x14ac:dyDescent="0.3">
      <c r="A16190" s="9" t="str">
        <f>HYPERLINK("http://www.eatonpowersource.com/products/details/74600-620","74600-620")</f>
        <v>74600-620</v>
      </c>
      <c r="B16190" s="10" t="s">
        <v>15218</v>
      </c>
    </row>
    <row r="16191" spans="1:2" x14ac:dyDescent="0.3">
      <c r="A16191" s="7" t="str">
        <f>HYPERLINK("http://www.eatonpowersource.com/products/details/74604-59","74604-59")</f>
        <v>74604-59</v>
      </c>
      <c r="B16191" s="8" t="s">
        <v>15219</v>
      </c>
    </row>
    <row r="16192" spans="1:2" x14ac:dyDescent="0.3">
      <c r="A16192" s="9" t="str">
        <f>HYPERLINK("http://www.eatonpowersource.com/products/details/7462-000","7462-000")</f>
        <v>7462-000</v>
      </c>
      <c r="B16192" s="10" t="s">
        <v>15220</v>
      </c>
    </row>
    <row r="16193" spans="1:2" x14ac:dyDescent="0.3">
      <c r="A16193" s="7" t="str">
        <f>HYPERLINK("http://www.eatonpowersource.com/products/details/74624-200","74624-200")</f>
        <v>74624-200</v>
      </c>
      <c r="B16193" s="8" t="s">
        <v>15082</v>
      </c>
    </row>
    <row r="16194" spans="1:2" x14ac:dyDescent="0.3">
      <c r="A16194" s="9" t="str">
        <f>HYPERLINK("http://www.eatonpowersource.com/products/details/74624-201","74624-201")</f>
        <v>74624-201</v>
      </c>
      <c r="B16194" s="10" t="s">
        <v>15082</v>
      </c>
    </row>
    <row r="16195" spans="1:2" x14ac:dyDescent="0.3">
      <c r="A16195" s="7" t="str">
        <f>HYPERLINK("http://www.eatonpowersource.com/products/details/74624-204","74624-204")</f>
        <v>74624-204</v>
      </c>
      <c r="B16195" s="8" t="s">
        <v>15201</v>
      </c>
    </row>
    <row r="16196" spans="1:2" x14ac:dyDescent="0.3">
      <c r="A16196" s="9" t="str">
        <f>HYPERLINK("http://www.eatonpowersource.com/products/details/74624-307","74624-307")</f>
        <v>74624-307</v>
      </c>
      <c r="B16196" s="10" t="s">
        <v>15221</v>
      </c>
    </row>
    <row r="16197" spans="1:2" x14ac:dyDescent="0.3">
      <c r="A16197" s="7" t="str">
        <f>HYPERLINK("http://www.eatonpowersource.com/products/details/74624-317","74624-317")</f>
        <v>74624-317</v>
      </c>
      <c r="B16197" s="8" t="s">
        <v>15222</v>
      </c>
    </row>
    <row r="16198" spans="1:2" x14ac:dyDescent="0.3">
      <c r="A16198" s="9" t="str">
        <f>HYPERLINK("http://www.eatonpowersource.com/products/details/74640-901","74640-901")</f>
        <v>74640-901</v>
      </c>
      <c r="B16198" s="10" t="s">
        <v>14703</v>
      </c>
    </row>
    <row r="16199" spans="1:2" x14ac:dyDescent="0.3">
      <c r="A16199" s="7" t="str">
        <f>HYPERLINK("http://www.eatonpowersource.com/products/details/74640-904","74640-904")</f>
        <v>74640-904</v>
      </c>
      <c r="B16199" s="8" t="s">
        <v>14835</v>
      </c>
    </row>
    <row r="16200" spans="1:2" x14ac:dyDescent="0.3">
      <c r="A16200" s="9" t="str">
        <f>HYPERLINK("http://www.eatonpowersource.com/products/details/7537-000","7537-000")</f>
        <v>7537-000</v>
      </c>
      <c r="B16200" s="10" t="s">
        <v>15223</v>
      </c>
    </row>
    <row r="16201" spans="1:2" x14ac:dyDescent="0.3">
      <c r="A16201" s="7" t="str">
        <f>HYPERLINK("http://www.eatonpowersource.com/products/details/76100-191","76100-191")</f>
        <v>76100-191</v>
      </c>
      <c r="B16201" s="8" t="s">
        <v>15224</v>
      </c>
    </row>
    <row r="16202" spans="1:2" x14ac:dyDescent="0.3">
      <c r="A16202" s="9" t="str">
        <f>HYPERLINK("http://www.eatonpowersource.com/products/details/77002-904","77002-904")</f>
        <v>77002-904</v>
      </c>
      <c r="B16202" s="10" t="s">
        <v>9798</v>
      </c>
    </row>
    <row r="16203" spans="1:2" x14ac:dyDescent="0.3">
      <c r="A16203" s="7" t="str">
        <f>HYPERLINK("http://www.eatonpowersource.com/products/details/77010-9","77010-9")</f>
        <v>77010-9</v>
      </c>
      <c r="B16203" s="8" t="s">
        <v>15225</v>
      </c>
    </row>
    <row r="16204" spans="1:2" x14ac:dyDescent="0.3">
      <c r="A16204" s="9" t="str">
        <f>HYPERLINK("http://www.eatonpowersource.com/products/details/77020-ba","77020-BA")</f>
        <v>77020-BA</v>
      </c>
      <c r="B16204" s="10" t="s">
        <v>15226</v>
      </c>
    </row>
    <row r="16205" spans="1:2" x14ac:dyDescent="0.3">
      <c r="A16205" s="7" t="str">
        <f>HYPERLINK("http://www.eatonpowersource.com/products/details/77020-bb","77020-BB")</f>
        <v>77020-BB</v>
      </c>
      <c r="B16205" s="8" t="s">
        <v>15227</v>
      </c>
    </row>
    <row r="16206" spans="1:2" x14ac:dyDescent="0.3">
      <c r="A16206" s="9" t="str">
        <f>HYPERLINK("http://www.eatonpowersource.com/products/details/78111-906","78111-906")</f>
        <v>78111-906</v>
      </c>
      <c r="B16206" s="10" t="s">
        <v>15116</v>
      </c>
    </row>
    <row r="16207" spans="1:2" x14ac:dyDescent="0.3">
      <c r="A16207" s="7" t="str">
        <f>HYPERLINK("http://www.eatonpowersource.com/products/details/78442-917","78442-917")</f>
        <v>78442-917</v>
      </c>
      <c r="B16207" s="8" t="s">
        <v>15116</v>
      </c>
    </row>
    <row r="16208" spans="1:2" x14ac:dyDescent="0.3">
      <c r="A16208" s="9" t="str">
        <f>HYPERLINK("http://www.eatonpowersource.com/products/details/78540-900","78540-900")</f>
        <v>78540-900</v>
      </c>
      <c r="B16208" s="10" t="s">
        <v>9798</v>
      </c>
    </row>
    <row r="16209" spans="1:2" x14ac:dyDescent="0.3">
      <c r="A16209" s="7" t="str">
        <f>HYPERLINK("http://www.eatonpowersource.com/products/details/78550-902","78550-902")</f>
        <v>78550-902</v>
      </c>
      <c r="B16209" s="8" t="s">
        <v>15228</v>
      </c>
    </row>
    <row r="16210" spans="1:2" x14ac:dyDescent="0.3">
      <c r="A16210" s="9" t="str">
        <f>HYPERLINK("http://www.eatonpowersource.com/products/details/800-0010-001","800-0010-001")</f>
        <v>800-0010-001</v>
      </c>
      <c r="B16210" s="10" t="s">
        <v>15229</v>
      </c>
    </row>
    <row r="16211" spans="1:2" x14ac:dyDescent="0.3">
      <c r="A16211" s="7" t="str">
        <f>HYPERLINK("http://www.eatonpowersource.com/products/details/8063-000","8063-000")</f>
        <v>8063-000</v>
      </c>
      <c r="B16211" s="8" t="s">
        <v>15230</v>
      </c>
    </row>
    <row r="16212" spans="1:2" x14ac:dyDescent="0.3">
      <c r="A16212" s="9" t="str">
        <f>HYPERLINK("http://www.eatonpowersource.com/products/details/8166-000","8166-000")</f>
        <v>8166-000</v>
      </c>
      <c r="B16212" s="10" t="s">
        <v>15231</v>
      </c>
    </row>
    <row r="16213" spans="1:2" x14ac:dyDescent="0.3">
      <c r="A16213" s="7" t="str">
        <f>HYPERLINK("http://www.eatonpowersource.com/products/details/8277-001","8277-001")</f>
        <v>8277-001</v>
      </c>
      <c r="B16213" s="8" t="s">
        <v>14752</v>
      </c>
    </row>
    <row r="16214" spans="1:2" x14ac:dyDescent="0.3">
      <c r="A16214" s="9" t="str">
        <f>HYPERLINK("http://www.eatonpowersource.com/products/details/8277-003","8277-003")</f>
        <v>8277-003</v>
      </c>
      <c r="B16214" s="10" t="s">
        <v>14752</v>
      </c>
    </row>
    <row r="16215" spans="1:2" x14ac:dyDescent="0.3">
      <c r="A16215" s="7" t="str">
        <f>HYPERLINK("http://www.eatonpowersource.com/products/details/8277-004","8277-004")</f>
        <v>8277-004</v>
      </c>
      <c r="B16215" s="8" t="s">
        <v>15232</v>
      </c>
    </row>
    <row r="16216" spans="1:2" x14ac:dyDescent="0.3">
      <c r="A16216" s="9" t="str">
        <f>HYPERLINK("http://www.eatonpowersource.com/products/details/8277-005","8277-005")</f>
        <v>8277-005</v>
      </c>
      <c r="B16216" s="10" t="s">
        <v>14752</v>
      </c>
    </row>
    <row r="16217" spans="1:2" x14ac:dyDescent="0.3">
      <c r="A16217" s="7" t="str">
        <f>HYPERLINK("http://www.eatonpowersource.com/products/details/8277-024","8277-024")</f>
        <v>8277-024</v>
      </c>
      <c r="B16217" s="8" t="s">
        <v>15233</v>
      </c>
    </row>
    <row r="16218" spans="1:2" x14ac:dyDescent="0.3">
      <c r="A16218" s="9" t="str">
        <f>HYPERLINK("http://www.eatonpowersource.com/products/details/8277-027","8277-027")</f>
        <v>8277-027</v>
      </c>
      <c r="B16218" s="10" t="s">
        <v>14752</v>
      </c>
    </row>
    <row r="16219" spans="1:2" x14ac:dyDescent="0.3">
      <c r="A16219" s="7" t="str">
        <f>HYPERLINK("http://www.eatonpowersource.com/products/details/8329-000","8329-000")</f>
        <v>8329-000</v>
      </c>
      <c r="B16219" s="8" t="s">
        <v>15234</v>
      </c>
    </row>
    <row r="16220" spans="1:2" x14ac:dyDescent="0.3">
      <c r="A16220" s="9" t="str">
        <f>HYPERLINK("http://www.eatonpowersource.com/products/details/8350-000","8350-000")</f>
        <v>8350-000</v>
      </c>
      <c r="B16220" s="10" t="s">
        <v>15235</v>
      </c>
    </row>
    <row r="16221" spans="1:2" x14ac:dyDescent="0.3">
      <c r="A16221" s="7" t="str">
        <f>HYPERLINK("http://www.eatonpowersource.com/products/details/8433-000","8433-000")</f>
        <v>8433-000</v>
      </c>
      <c r="B16221" s="8" t="s">
        <v>15236</v>
      </c>
    </row>
    <row r="16222" spans="1:2" x14ac:dyDescent="0.3">
      <c r="A16222" s="9" t="str">
        <f>HYPERLINK("http://www.eatonpowersource.com/products/details/8464-002","8464-002")</f>
        <v>8464-002</v>
      </c>
      <c r="B16222" s="10" t="s">
        <v>15237</v>
      </c>
    </row>
    <row r="16223" spans="1:2" x14ac:dyDescent="0.3">
      <c r="A16223" s="7" t="str">
        <f>HYPERLINK("http://www.eatonpowersource.com/products/details/8464-003","8464-003")</f>
        <v>8464-003</v>
      </c>
      <c r="B16223" s="8" t="s">
        <v>15237</v>
      </c>
    </row>
    <row r="16224" spans="1:2" x14ac:dyDescent="0.3">
      <c r="A16224" s="9" t="str">
        <f>HYPERLINK("http://www.eatonpowersource.com/products/details/8464-004","8464-004")</f>
        <v>8464-004</v>
      </c>
      <c r="B16224" s="10" t="s">
        <v>15238</v>
      </c>
    </row>
    <row r="16225" spans="1:2" x14ac:dyDescent="0.3">
      <c r="A16225" s="7" t="str">
        <f>HYPERLINK("http://www.eatonpowersource.com/products/details/8464-006","8464-006")</f>
        <v>8464-006</v>
      </c>
      <c r="B16225" s="8" t="s">
        <v>15239</v>
      </c>
    </row>
    <row r="16226" spans="1:2" x14ac:dyDescent="0.3">
      <c r="A16226" s="9" t="str">
        <f>HYPERLINK("http://www.eatonpowersource.com/products/details/8464-007","8464-007")</f>
        <v>8464-007</v>
      </c>
      <c r="B16226" s="10" t="s">
        <v>15239</v>
      </c>
    </row>
    <row r="16227" spans="1:2" x14ac:dyDescent="0.3">
      <c r="A16227" s="7" t="str">
        <f>HYPERLINK("http://www.eatonpowersource.com/products/details/8464-008","8464-008")</f>
        <v>8464-008</v>
      </c>
      <c r="B16227" s="8" t="s">
        <v>15237</v>
      </c>
    </row>
    <row r="16228" spans="1:2" x14ac:dyDescent="0.3">
      <c r="A16228" s="9" t="str">
        <f>HYPERLINK("http://www.eatonpowersource.com/products/details/8464-010","8464-010")</f>
        <v>8464-010</v>
      </c>
      <c r="B16228" s="10" t="s">
        <v>15240</v>
      </c>
    </row>
    <row r="16229" spans="1:2" x14ac:dyDescent="0.3">
      <c r="A16229" s="7" t="str">
        <f>HYPERLINK("http://www.eatonpowersource.com/products/details/8482-000","8482-000")</f>
        <v>8482-000</v>
      </c>
      <c r="B16229" s="8" t="s">
        <v>15241</v>
      </c>
    </row>
    <row r="16230" spans="1:2" x14ac:dyDescent="0.3">
      <c r="A16230" s="9" t="str">
        <f>HYPERLINK("http://www.eatonpowersource.com/products/details/8483-000","8483-000")</f>
        <v>8483-000</v>
      </c>
      <c r="B16230" s="10" t="s">
        <v>15241</v>
      </c>
    </row>
    <row r="16231" spans="1:2" x14ac:dyDescent="0.3">
      <c r="A16231" s="7" t="str">
        <f>HYPERLINK("http://www.eatonpowersource.com/products/details/8484-000","8484-000")</f>
        <v>8484-000</v>
      </c>
      <c r="B16231" s="8" t="s">
        <v>15241</v>
      </c>
    </row>
    <row r="16232" spans="1:2" x14ac:dyDescent="0.3">
      <c r="A16232" s="9" t="str">
        <f>HYPERLINK("http://www.eatonpowersource.com/products/details/8492-000","8492-000")</f>
        <v>8492-000</v>
      </c>
      <c r="B16232" s="10" t="s">
        <v>15242</v>
      </c>
    </row>
    <row r="16233" spans="1:2" x14ac:dyDescent="0.3">
      <c r="A16233" s="7" t="str">
        <f>HYPERLINK("http://www.eatonpowersource.com/products/details/8497-000","8497-000")</f>
        <v>8497-000</v>
      </c>
      <c r="B16233" s="8" t="s">
        <v>15243</v>
      </c>
    </row>
    <row r="16234" spans="1:2" x14ac:dyDescent="0.3">
      <c r="A16234" s="9" t="str">
        <f>HYPERLINK("http://www.eatonpowersource.com/products/details/8500-000","8500-000")</f>
        <v>8500-000</v>
      </c>
      <c r="B16234" s="10" t="s">
        <v>15244</v>
      </c>
    </row>
    <row r="16235" spans="1:2" x14ac:dyDescent="0.3">
      <c r="A16235" s="7" t="str">
        <f>HYPERLINK("http://www.eatonpowersource.com/products/details/8502-004","8502-004")</f>
        <v>8502-004</v>
      </c>
      <c r="B16235" s="8" t="s">
        <v>15245</v>
      </c>
    </row>
    <row r="16236" spans="1:2" x14ac:dyDescent="0.3">
      <c r="A16236" s="9" t="str">
        <f>HYPERLINK("http://www.eatonpowersource.com/products/details/8504-000","8504-000")</f>
        <v>8504-000</v>
      </c>
      <c r="B16236" s="10" t="s">
        <v>15246</v>
      </c>
    </row>
    <row r="16237" spans="1:2" x14ac:dyDescent="0.3">
      <c r="A16237" s="7" t="str">
        <f>HYPERLINK("http://www.eatonpowersource.com/products/details/8507-001","8507-001")</f>
        <v>8507-001</v>
      </c>
      <c r="B16237" s="8" t="s">
        <v>15247</v>
      </c>
    </row>
    <row r="16238" spans="1:2" x14ac:dyDescent="0.3">
      <c r="A16238" s="9" t="str">
        <f>HYPERLINK("http://www.eatonpowersource.com/products/details/8507-002","8507-002")</f>
        <v>8507-002</v>
      </c>
      <c r="B16238" s="10" t="s">
        <v>15248</v>
      </c>
    </row>
    <row r="16239" spans="1:2" x14ac:dyDescent="0.3">
      <c r="A16239" s="7" t="str">
        <f>HYPERLINK("http://www.eatonpowersource.com/products/details/8507-003","8507-003")</f>
        <v>8507-003</v>
      </c>
      <c r="B16239" s="8" t="s">
        <v>15248</v>
      </c>
    </row>
    <row r="16240" spans="1:2" x14ac:dyDescent="0.3">
      <c r="A16240" s="9" t="str">
        <f>HYPERLINK("http://www.eatonpowersource.com/products/details/8507-004","8507-004")</f>
        <v>8507-004</v>
      </c>
      <c r="B16240" s="10" t="s">
        <v>15247</v>
      </c>
    </row>
    <row r="16241" spans="1:2" x14ac:dyDescent="0.3">
      <c r="A16241" s="7" t="str">
        <f>HYPERLINK("http://www.eatonpowersource.com/products/details/8507-005","8507-005")</f>
        <v>8507-005</v>
      </c>
      <c r="B16241" s="8" t="s">
        <v>15247</v>
      </c>
    </row>
    <row r="16242" spans="1:2" x14ac:dyDescent="0.3">
      <c r="A16242" s="9" t="str">
        <f>HYPERLINK("http://www.eatonpowersource.com/products/details/8507-006","8507-006")</f>
        <v>8507-006</v>
      </c>
      <c r="B16242" s="10" t="s">
        <v>15248</v>
      </c>
    </row>
    <row r="16243" spans="1:2" x14ac:dyDescent="0.3">
      <c r="A16243" s="7" t="str">
        <f>HYPERLINK("http://www.eatonpowersource.com/products/details/8507-007","8507-007")</f>
        <v>8507-007</v>
      </c>
      <c r="B16243" s="8" t="s">
        <v>15247</v>
      </c>
    </row>
    <row r="16244" spans="1:2" x14ac:dyDescent="0.3">
      <c r="A16244" s="9" t="str">
        <f>HYPERLINK("http://www.eatonpowersource.com/products/details/8507-009","8507-009")</f>
        <v>8507-009</v>
      </c>
      <c r="B16244" s="10" t="s">
        <v>15249</v>
      </c>
    </row>
    <row r="16245" spans="1:2" x14ac:dyDescent="0.3">
      <c r="A16245" s="7" t="str">
        <f>HYPERLINK("http://www.eatonpowersource.com/products/details/8508-000","8508-000")</f>
        <v>8508-000</v>
      </c>
      <c r="B16245" s="8" t="s">
        <v>15250</v>
      </c>
    </row>
    <row r="16246" spans="1:2" x14ac:dyDescent="0.3">
      <c r="A16246" s="9" t="str">
        <f>HYPERLINK("http://www.eatonpowersource.com/products/details/8510-000","8510-000")</f>
        <v>8510-000</v>
      </c>
      <c r="B16246" s="10" t="s">
        <v>15251</v>
      </c>
    </row>
    <row r="16247" spans="1:2" x14ac:dyDescent="0.3">
      <c r="A16247" s="7" t="str">
        <f>HYPERLINK("http://www.eatonpowersource.com/products/details/8566-000","8566-000")</f>
        <v>8566-000</v>
      </c>
      <c r="B16247" s="8" t="s">
        <v>15252</v>
      </c>
    </row>
    <row r="16248" spans="1:2" x14ac:dyDescent="0.3">
      <c r="A16248" s="9" t="str">
        <f>HYPERLINK("http://www.eatonpowersource.com/products/details/8567-000","8567-000")</f>
        <v>8567-000</v>
      </c>
      <c r="B16248" s="10" t="s">
        <v>15253</v>
      </c>
    </row>
    <row r="16249" spans="1:2" x14ac:dyDescent="0.3">
      <c r="A16249" s="7" t="str">
        <f>HYPERLINK("http://www.eatonpowersource.com/products/details/8573-001","8573-001")</f>
        <v>8573-001</v>
      </c>
      <c r="B16249" s="8" t="s">
        <v>15254</v>
      </c>
    </row>
    <row r="16250" spans="1:2" x14ac:dyDescent="0.3">
      <c r="A16250" s="9" t="str">
        <f>HYPERLINK("http://www.eatonpowersource.com/products/details/8573-002","8573-002")</f>
        <v>8573-002</v>
      </c>
      <c r="B16250" s="10" t="s">
        <v>15255</v>
      </c>
    </row>
    <row r="16251" spans="1:2" x14ac:dyDescent="0.3">
      <c r="A16251" s="7" t="str">
        <f>HYPERLINK("http://www.eatonpowersource.com/products/details/8573-003","8573-003")</f>
        <v>8573-003</v>
      </c>
      <c r="B16251" s="8" t="s">
        <v>15255</v>
      </c>
    </row>
    <row r="16252" spans="1:2" x14ac:dyDescent="0.3">
      <c r="A16252" s="9" t="str">
        <f>HYPERLINK("http://www.eatonpowersource.com/products/details/8573-004","8573-004")</f>
        <v>8573-004</v>
      </c>
      <c r="B16252" s="10" t="s">
        <v>15255</v>
      </c>
    </row>
    <row r="16253" spans="1:2" x14ac:dyDescent="0.3">
      <c r="A16253" s="7" t="str">
        <f>HYPERLINK("http://www.eatonpowersource.com/products/details/8618-003","8618-003")</f>
        <v>8618-003</v>
      </c>
      <c r="B16253" s="8" t="s">
        <v>15256</v>
      </c>
    </row>
    <row r="16254" spans="1:2" x14ac:dyDescent="0.3">
      <c r="A16254" s="9" t="str">
        <f>HYPERLINK("http://www.eatonpowersource.com/products/details/8618-036","8618-036")</f>
        <v>8618-036</v>
      </c>
      <c r="B16254" s="10" t="s">
        <v>15257</v>
      </c>
    </row>
    <row r="16255" spans="1:2" x14ac:dyDescent="0.3">
      <c r="A16255" s="7" t="str">
        <f>HYPERLINK("http://www.eatonpowersource.com/products/details/8664-000","8664-000")</f>
        <v>8664-000</v>
      </c>
      <c r="B16255" s="8" t="s">
        <v>14505</v>
      </c>
    </row>
    <row r="16256" spans="1:2" x14ac:dyDescent="0.3">
      <c r="A16256" s="9" t="str">
        <f>HYPERLINK("http://www.eatonpowersource.com/products/details/8731-000","8731-000")</f>
        <v>8731-000</v>
      </c>
      <c r="B16256" s="10" t="s">
        <v>15258</v>
      </c>
    </row>
    <row r="16257" spans="1:2" x14ac:dyDescent="0.3">
      <c r="A16257" s="7" t="str">
        <f>HYPERLINK("http://www.eatonpowersource.com/products/details/8755-000","8755-000")</f>
        <v>8755-000</v>
      </c>
      <c r="B16257" s="8" t="s">
        <v>15259</v>
      </c>
    </row>
    <row r="16258" spans="1:2" x14ac:dyDescent="0.3">
      <c r="A16258" s="9" t="str">
        <f>HYPERLINK("http://www.eatonpowersource.com/products/details/8761-004","8761-004")</f>
        <v>8761-004</v>
      </c>
      <c r="B16258" s="10" t="s">
        <v>15260</v>
      </c>
    </row>
    <row r="16259" spans="1:2" x14ac:dyDescent="0.3">
      <c r="A16259" s="7" t="str">
        <f>HYPERLINK("http://www.eatonpowersource.com/products/details/8761-010","8761-010")</f>
        <v>8761-010</v>
      </c>
      <c r="B16259" s="8" t="s">
        <v>15260</v>
      </c>
    </row>
    <row r="16260" spans="1:2" x14ac:dyDescent="0.3">
      <c r="A16260" s="9" t="str">
        <f>HYPERLINK("http://www.eatonpowersource.com/products/details/8761-012","8761-012")</f>
        <v>8761-012</v>
      </c>
      <c r="B16260" s="10" t="s">
        <v>14281</v>
      </c>
    </row>
    <row r="16261" spans="1:2" x14ac:dyDescent="0.3">
      <c r="A16261" s="7" t="str">
        <f>HYPERLINK("http://www.eatonpowersource.com/products/details/8761-016","8761-016")</f>
        <v>8761-016</v>
      </c>
      <c r="B16261" s="8" t="s">
        <v>14281</v>
      </c>
    </row>
    <row r="16262" spans="1:2" x14ac:dyDescent="0.3">
      <c r="A16262" s="9" t="str">
        <f>HYPERLINK("http://www.eatonpowersource.com/products/details/8761-017","8761-017")</f>
        <v>8761-017</v>
      </c>
      <c r="B16262" s="10" t="s">
        <v>9968</v>
      </c>
    </row>
    <row r="16263" spans="1:2" x14ac:dyDescent="0.3">
      <c r="A16263" s="7" t="str">
        <f>HYPERLINK("http://www.eatonpowersource.com/products/details/8761-034","8761-034")</f>
        <v>8761-034</v>
      </c>
      <c r="B16263" s="8" t="s">
        <v>15261</v>
      </c>
    </row>
    <row r="16264" spans="1:2" x14ac:dyDescent="0.3">
      <c r="A16264" s="9" t="str">
        <f>HYPERLINK("http://www.eatonpowersource.com/products/details/8761-045","8761-045")</f>
        <v>8761-045</v>
      </c>
      <c r="B16264" s="10" t="s">
        <v>15262</v>
      </c>
    </row>
    <row r="16265" spans="1:2" x14ac:dyDescent="0.3">
      <c r="A16265" s="7" t="str">
        <f>HYPERLINK("http://www.eatonpowersource.com/products/details/8761-116","8761-116")</f>
        <v>8761-116</v>
      </c>
      <c r="B16265" s="8" t="s">
        <v>15263</v>
      </c>
    </row>
    <row r="16266" spans="1:2" x14ac:dyDescent="0.3">
      <c r="A16266" s="9" t="str">
        <f>HYPERLINK("http://www.eatonpowersource.com/products/details/8761-143","8761-143")</f>
        <v>8761-143</v>
      </c>
      <c r="B16266" s="10" t="s">
        <v>9968</v>
      </c>
    </row>
    <row r="16267" spans="1:2" x14ac:dyDescent="0.3">
      <c r="A16267" s="7" t="str">
        <f>HYPERLINK("http://www.eatonpowersource.com/products/details/8761-145","8761-145")</f>
        <v>8761-145</v>
      </c>
      <c r="B16267" s="8" t="s">
        <v>9968</v>
      </c>
    </row>
    <row r="16268" spans="1:2" x14ac:dyDescent="0.3">
      <c r="A16268" s="9" t="str">
        <f>HYPERLINK("http://www.eatonpowersource.com/products/details/8761-147","8761-147")</f>
        <v>8761-147</v>
      </c>
      <c r="B16268" s="10" t="s">
        <v>9968</v>
      </c>
    </row>
    <row r="16269" spans="1:2" x14ac:dyDescent="0.3">
      <c r="A16269" s="7" t="str">
        <f>HYPERLINK("http://www.eatonpowersource.com/products/details/8761-150","8761-150")</f>
        <v>8761-150</v>
      </c>
      <c r="B16269" s="8" t="s">
        <v>15264</v>
      </c>
    </row>
    <row r="16270" spans="1:2" x14ac:dyDescent="0.3">
      <c r="A16270" s="9" t="str">
        <f>HYPERLINK("http://www.eatonpowersource.com/products/details/8761-152","8761-152")</f>
        <v>8761-152</v>
      </c>
      <c r="B16270" s="10" t="s">
        <v>15265</v>
      </c>
    </row>
    <row r="16271" spans="1:2" x14ac:dyDescent="0.3">
      <c r="A16271" s="7" t="str">
        <f>HYPERLINK("http://www.eatonpowersource.com/products/details/8761-155","8761-155")</f>
        <v>8761-155</v>
      </c>
      <c r="B16271" s="8" t="s">
        <v>15261</v>
      </c>
    </row>
    <row r="16272" spans="1:2" x14ac:dyDescent="0.3">
      <c r="A16272" s="9" t="str">
        <f>HYPERLINK("http://www.eatonpowersource.com/products/details/8761-158","8761-158")</f>
        <v>8761-158</v>
      </c>
      <c r="B16272" s="10" t="s">
        <v>15266</v>
      </c>
    </row>
    <row r="16273" spans="1:2" x14ac:dyDescent="0.3">
      <c r="A16273" s="7" t="str">
        <f>HYPERLINK("http://www.eatonpowersource.com/products/details/8761-159","8761-159")</f>
        <v>8761-159</v>
      </c>
      <c r="B16273" s="8" t="s">
        <v>15267</v>
      </c>
    </row>
    <row r="16274" spans="1:2" x14ac:dyDescent="0.3">
      <c r="A16274" s="9" t="str">
        <f>HYPERLINK("http://www.eatonpowersource.com/products/details/8761-231","8761-231")</f>
        <v>8761-231</v>
      </c>
      <c r="B16274" s="10" t="s">
        <v>9968</v>
      </c>
    </row>
    <row r="16275" spans="1:2" x14ac:dyDescent="0.3">
      <c r="A16275" s="7" t="str">
        <f>HYPERLINK("http://www.eatonpowersource.com/products/details/8761-234","8761-234")</f>
        <v>8761-234</v>
      </c>
      <c r="B16275" s="8" t="s">
        <v>9968</v>
      </c>
    </row>
    <row r="16276" spans="1:2" x14ac:dyDescent="0.3">
      <c r="A16276" s="9" t="str">
        <f>HYPERLINK("http://www.eatonpowersource.com/products/details/8761-237","8761-237")</f>
        <v>8761-237</v>
      </c>
      <c r="B16276" s="10" t="s">
        <v>9968</v>
      </c>
    </row>
    <row r="16277" spans="1:2" x14ac:dyDescent="0.3">
      <c r="A16277" s="7" t="str">
        <f>HYPERLINK("http://www.eatonpowersource.com/products/details/8765-113","8765-113")</f>
        <v>8765-113</v>
      </c>
      <c r="B16277" s="8" t="s">
        <v>9968</v>
      </c>
    </row>
    <row r="16278" spans="1:2" x14ac:dyDescent="0.3">
      <c r="A16278" s="9" t="str">
        <f>HYPERLINK("http://www.eatonpowersource.com/products/details/8765-118","8765-118")</f>
        <v>8765-118</v>
      </c>
      <c r="B16278" s="10" t="s">
        <v>15268</v>
      </c>
    </row>
    <row r="16279" spans="1:2" x14ac:dyDescent="0.3">
      <c r="A16279" s="7" t="str">
        <f>HYPERLINK("http://www.eatonpowersource.com/products/details/8770-113","8770-113")</f>
        <v>8770-113</v>
      </c>
      <c r="B16279" s="8" t="s">
        <v>15269</v>
      </c>
    </row>
    <row r="16280" spans="1:2" x14ac:dyDescent="0.3">
      <c r="A16280" s="9" t="str">
        <f>HYPERLINK("http://www.eatonpowersource.com/products/details/8771-036","8771-036")</f>
        <v>8771-036</v>
      </c>
      <c r="B16280" s="10" t="s">
        <v>15270</v>
      </c>
    </row>
    <row r="16281" spans="1:2" x14ac:dyDescent="0.3">
      <c r="A16281" s="7" t="str">
        <f>HYPERLINK("http://www.eatonpowersource.com/products/details/8771-038","8771-038")</f>
        <v>8771-038</v>
      </c>
      <c r="B16281" s="8" t="s">
        <v>15270</v>
      </c>
    </row>
    <row r="16282" spans="1:2" x14ac:dyDescent="0.3">
      <c r="A16282" s="9" t="str">
        <f>HYPERLINK("http://www.eatonpowersource.com/products/details/8771-130","8771-130")</f>
        <v>8771-130</v>
      </c>
      <c r="B16282" s="10" t="s">
        <v>15270</v>
      </c>
    </row>
    <row r="16283" spans="1:2" x14ac:dyDescent="0.3">
      <c r="A16283" s="7" t="str">
        <f>HYPERLINK("http://www.eatonpowersource.com/products/details/8771-162","8771-162")</f>
        <v>8771-162</v>
      </c>
      <c r="B16283" s="8" t="s">
        <v>15270</v>
      </c>
    </row>
    <row r="16284" spans="1:2" x14ac:dyDescent="0.3">
      <c r="A16284" s="9" t="str">
        <f>HYPERLINK("http://www.eatonpowersource.com/products/details/8771-166","8771-166")</f>
        <v>8771-166</v>
      </c>
      <c r="B16284" s="10" t="s">
        <v>15270</v>
      </c>
    </row>
    <row r="16285" spans="1:2" x14ac:dyDescent="0.3">
      <c r="A16285" s="7" t="str">
        <f>HYPERLINK("http://www.eatonpowersource.com/products/details/8775-021","8775-021")</f>
        <v>8775-021</v>
      </c>
      <c r="B16285" s="8" t="s">
        <v>15271</v>
      </c>
    </row>
    <row r="16286" spans="1:2" x14ac:dyDescent="0.3">
      <c r="A16286" s="9" t="str">
        <f>HYPERLINK("http://www.eatonpowersource.com/products/details/8785-010","8785-010")</f>
        <v>8785-010</v>
      </c>
      <c r="B16286" s="10" t="s">
        <v>14281</v>
      </c>
    </row>
    <row r="16287" spans="1:2" x14ac:dyDescent="0.3">
      <c r="A16287" s="7" t="str">
        <f>HYPERLINK("http://www.eatonpowersource.com/products/details/8826-000","8826-000")</f>
        <v>8826-000</v>
      </c>
      <c r="B16287" s="8" t="s">
        <v>14172</v>
      </c>
    </row>
    <row r="16288" spans="1:2" x14ac:dyDescent="0.3">
      <c r="A16288" s="9" t="str">
        <f>HYPERLINK("http://www.eatonpowersource.com/products/details/8828-000","8828-000")</f>
        <v>8828-000</v>
      </c>
      <c r="B16288" s="10" t="s">
        <v>14172</v>
      </c>
    </row>
    <row r="16289" spans="1:2" x14ac:dyDescent="0.3">
      <c r="A16289" s="7" t="str">
        <f>HYPERLINK("http://www.eatonpowersource.com/products/details/8835-000","8835-000")</f>
        <v>8835-000</v>
      </c>
      <c r="B16289" s="8" t="s">
        <v>15272</v>
      </c>
    </row>
    <row r="16290" spans="1:2" x14ac:dyDescent="0.3">
      <c r="A16290" s="9" t="str">
        <f>HYPERLINK("http://www.eatonpowersource.com/products/details/8856-000","8856-000")</f>
        <v>8856-000</v>
      </c>
      <c r="B16290" s="10" t="s">
        <v>15273</v>
      </c>
    </row>
    <row r="16291" spans="1:2" x14ac:dyDescent="0.3">
      <c r="A16291" s="7" t="str">
        <f>HYPERLINK("http://www.eatonpowersource.com/products/details/8857-000","8857-000")</f>
        <v>8857-000</v>
      </c>
      <c r="B16291" s="8" t="s">
        <v>14163</v>
      </c>
    </row>
    <row r="16292" spans="1:2" x14ac:dyDescent="0.3">
      <c r="A16292" s="9" t="str">
        <f>HYPERLINK("http://www.eatonpowersource.com/products/details/8915-000","8915-000")</f>
        <v>8915-000</v>
      </c>
      <c r="B16292" s="10" t="s">
        <v>15274</v>
      </c>
    </row>
    <row r="16293" spans="1:2" x14ac:dyDescent="0.3">
      <c r="A16293" s="7" t="str">
        <f>HYPERLINK("http://www.eatonpowersource.com/products/details/8957-000","8957-000")</f>
        <v>8957-000</v>
      </c>
      <c r="B16293" s="8" t="s">
        <v>15275</v>
      </c>
    </row>
    <row r="16294" spans="1:2" x14ac:dyDescent="0.3">
      <c r="A16294" s="9" t="str">
        <f>HYPERLINK("http://www.eatonpowersource.com/products/details/8958-000","8958-000")</f>
        <v>8958-000</v>
      </c>
      <c r="B16294" s="10" t="s">
        <v>15276</v>
      </c>
    </row>
    <row r="16295" spans="1:2" x14ac:dyDescent="0.3">
      <c r="A16295" s="7" t="str">
        <f>HYPERLINK("http://www.eatonpowersource.com/products/details/9001-002","9001-002")</f>
        <v>9001-002</v>
      </c>
      <c r="B16295" s="8" t="s">
        <v>15277</v>
      </c>
    </row>
    <row r="16296" spans="1:2" x14ac:dyDescent="0.3">
      <c r="A16296" s="9" t="str">
        <f>HYPERLINK("http://www.eatonpowersource.com/products/details/9001-003","9001-003")</f>
        <v>9001-003</v>
      </c>
      <c r="B16296" s="10" t="s">
        <v>15277</v>
      </c>
    </row>
    <row r="16297" spans="1:2" x14ac:dyDescent="0.3">
      <c r="A16297" s="7" t="str">
        <f>HYPERLINK("http://www.eatonpowersource.com/products/details/9001-004","9001-004")</f>
        <v>9001-004</v>
      </c>
      <c r="B16297" s="8" t="s">
        <v>15277</v>
      </c>
    </row>
    <row r="16298" spans="1:2" x14ac:dyDescent="0.3">
      <c r="A16298" s="9" t="str">
        <f>HYPERLINK("http://www.eatonpowersource.com/products/details/9002-003","9002-003")</f>
        <v>9002-003</v>
      </c>
      <c r="B16298" s="10" t="s">
        <v>15278</v>
      </c>
    </row>
    <row r="16299" spans="1:2" x14ac:dyDescent="0.3">
      <c r="A16299" s="7" t="str">
        <f>HYPERLINK("http://www.eatonpowersource.com/products/details/9002-004","9002-004")</f>
        <v>9002-004</v>
      </c>
      <c r="B16299" s="8" t="s">
        <v>15279</v>
      </c>
    </row>
    <row r="16300" spans="1:2" x14ac:dyDescent="0.3">
      <c r="A16300" s="9" t="str">
        <f>HYPERLINK("http://www.eatonpowersource.com/products/details/9003-006","9003-006")</f>
        <v>9003-006</v>
      </c>
      <c r="B16300" s="10" t="s">
        <v>15280</v>
      </c>
    </row>
    <row r="16301" spans="1:2" x14ac:dyDescent="0.3">
      <c r="A16301" s="7" t="str">
        <f>HYPERLINK("http://www.eatonpowersource.com/products/details/9031-001","9031-001")</f>
        <v>9031-001</v>
      </c>
      <c r="B16301" s="8" t="s">
        <v>15281</v>
      </c>
    </row>
    <row r="16302" spans="1:2" x14ac:dyDescent="0.3">
      <c r="A16302" s="9" t="str">
        <f>HYPERLINK("http://www.eatonpowersource.com/products/details/9039-001","9039-001")</f>
        <v>9039-001</v>
      </c>
      <c r="B16302" s="10" t="s">
        <v>15282</v>
      </c>
    </row>
    <row r="16303" spans="1:2" x14ac:dyDescent="0.3">
      <c r="A16303" s="7" t="str">
        <f>HYPERLINK("http://www.eatonpowersource.com/products/details/9049-001","9049-001")</f>
        <v>9049-001</v>
      </c>
      <c r="B16303" s="8" t="s">
        <v>15283</v>
      </c>
    </row>
    <row r="16304" spans="1:2" x14ac:dyDescent="0.3">
      <c r="A16304" s="9" t="str">
        <f>HYPERLINK("http://www.eatonpowersource.com/products/details/9050-000","9050-000")</f>
        <v>9050-000</v>
      </c>
      <c r="B16304" s="10" t="s">
        <v>15284</v>
      </c>
    </row>
    <row r="16305" spans="1:2" x14ac:dyDescent="0.3">
      <c r="A16305" s="7" t="str">
        <f>HYPERLINK("http://www.eatonpowersource.com/products/details/9057-001","9057-001")</f>
        <v>9057-001</v>
      </c>
      <c r="B16305" s="8" t="s">
        <v>15285</v>
      </c>
    </row>
    <row r="16306" spans="1:2" x14ac:dyDescent="0.3">
      <c r="A16306" s="9" t="str">
        <f>HYPERLINK("http://www.eatonpowersource.com/products/details/9057-009","9057-009")</f>
        <v>9057-009</v>
      </c>
      <c r="B16306" s="10" t="s">
        <v>15286</v>
      </c>
    </row>
    <row r="16307" spans="1:2" x14ac:dyDescent="0.3">
      <c r="A16307" s="7" t="str">
        <f>HYPERLINK("http://www.eatonpowersource.com/products/details/9057-012","9057-012")</f>
        <v>9057-012</v>
      </c>
      <c r="B16307" s="8" t="s">
        <v>15287</v>
      </c>
    </row>
    <row r="16308" spans="1:2" x14ac:dyDescent="0.3">
      <c r="A16308" s="9" t="str">
        <f>HYPERLINK("http://www.eatonpowersource.com/products/details/9057-013","9057-013")</f>
        <v>9057-013</v>
      </c>
      <c r="B16308" s="10" t="s">
        <v>15288</v>
      </c>
    </row>
    <row r="16309" spans="1:2" x14ac:dyDescent="0.3">
      <c r="A16309" s="7" t="str">
        <f>HYPERLINK("http://www.eatonpowersource.com/products/details/9072-003","9072-003")</f>
        <v>9072-003</v>
      </c>
      <c r="B16309" s="8" t="s">
        <v>15289</v>
      </c>
    </row>
    <row r="16310" spans="1:2" x14ac:dyDescent="0.3">
      <c r="A16310" s="9" t="str">
        <f>HYPERLINK("http://www.eatonpowersource.com/products/details/9072-004","9072-004")</f>
        <v>9072-004</v>
      </c>
      <c r="B16310" s="10" t="s">
        <v>15290</v>
      </c>
    </row>
    <row r="16311" spans="1:2" x14ac:dyDescent="0.3">
      <c r="A16311" s="7" t="str">
        <f>HYPERLINK("http://www.eatonpowersource.com/products/details/9072-005","9072-005")</f>
        <v>9072-005</v>
      </c>
      <c r="B16311" s="8" t="s">
        <v>15290</v>
      </c>
    </row>
    <row r="16312" spans="1:2" x14ac:dyDescent="0.3">
      <c r="A16312" s="9" t="str">
        <f>HYPERLINK("http://www.eatonpowersource.com/products/details/9072-006","9072-006")</f>
        <v>9072-006</v>
      </c>
      <c r="B16312" s="10" t="s">
        <v>15291</v>
      </c>
    </row>
    <row r="16313" spans="1:2" x14ac:dyDescent="0.3">
      <c r="A16313" s="7" t="str">
        <f>HYPERLINK("http://www.eatonpowersource.com/products/details/90797-000","90797-000")</f>
        <v>90797-000</v>
      </c>
      <c r="B16313" s="8" t="s">
        <v>10041</v>
      </c>
    </row>
    <row r="16314" spans="1:2" x14ac:dyDescent="0.3">
      <c r="A16314" s="9" t="str">
        <f>HYPERLINK("http://www.eatonpowersource.com/products/details/9080-001","9080-001")</f>
        <v>9080-001</v>
      </c>
      <c r="B16314" s="10" t="s">
        <v>15292</v>
      </c>
    </row>
    <row r="16315" spans="1:2" x14ac:dyDescent="0.3">
      <c r="A16315" s="7" t="str">
        <f>HYPERLINK("http://www.eatonpowersource.com/products/details/9086-001","9086-001")</f>
        <v>9086-001</v>
      </c>
      <c r="B16315" s="8" t="s">
        <v>15293</v>
      </c>
    </row>
    <row r="16316" spans="1:2" x14ac:dyDescent="0.3">
      <c r="A16316" s="9" t="str">
        <f>HYPERLINK("http://www.eatonpowersource.com/products/details/90880-000","90880-000")</f>
        <v>90880-000</v>
      </c>
      <c r="B16316" s="10" t="s">
        <v>15294</v>
      </c>
    </row>
    <row r="16317" spans="1:2" x14ac:dyDescent="0.3">
      <c r="A16317" s="7" t="str">
        <f>HYPERLINK("http://www.eatonpowersource.com/products/details/9091-001","9091-001")</f>
        <v>9091-001</v>
      </c>
      <c r="B16317" s="8" t="s">
        <v>15295</v>
      </c>
    </row>
    <row r="16318" spans="1:2" x14ac:dyDescent="0.3">
      <c r="A16318" s="9" t="str">
        <f>HYPERLINK("http://www.eatonpowersource.com/products/details/9103-019","9103-019")</f>
        <v>9103-019</v>
      </c>
      <c r="B16318" s="10" t="s">
        <v>15296</v>
      </c>
    </row>
    <row r="16319" spans="1:2" x14ac:dyDescent="0.3">
      <c r="A16319" s="7" t="str">
        <f>HYPERLINK("http://www.eatonpowersource.com/products/details/9103-020","9103-020")</f>
        <v>9103-020</v>
      </c>
      <c r="B16319" s="8" t="s">
        <v>15297</v>
      </c>
    </row>
    <row r="16320" spans="1:2" x14ac:dyDescent="0.3">
      <c r="A16320" s="9" t="str">
        <f>HYPERLINK("http://www.eatonpowersource.com/products/details/9117-005","9117-005")</f>
        <v>9117-005</v>
      </c>
      <c r="B16320" s="10" t="s">
        <v>15298</v>
      </c>
    </row>
    <row r="16321" spans="1:2" x14ac:dyDescent="0.3">
      <c r="A16321" s="7" t="str">
        <f>HYPERLINK("http://www.eatonpowersource.com/products/details/9117-008","9117-008")</f>
        <v>9117-008</v>
      </c>
      <c r="B16321" s="8" t="s">
        <v>15299</v>
      </c>
    </row>
    <row r="16322" spans="1:2" x14ac:dyDescent="0.3">
      <c r="A16322" s="9" t="str">
        <f>HYPERLINK("http://www.eatonpowersource.com/products/details/9121-001","9121-001")</f>
        <v>9121-001</v>
      </c>
      <c r="B16322" s="10" t="s">
        <v>15300</v>
      </c>
    </row>
    <row r="16323" spans="1:2" x14ac:dyDescent="0.3">
      <c r="A16323" s="7" t="str">
        <f>HYPERLINK("http://www.eatonpowersource.com/products/details/9121-002","9121-002")</f>
        <v>9121-002</v>
      </c>
      <c r="B16323" s="8" t="s">
        <v>15301</v>
      </c>
    </row>
    <row r="16324" spans="1:2" x14ac:dyDescent="0.3">
      <c r="A16324" s="9" t="str">
        <f>HYPERLINK("http://www.eatonpowersource.com/products/details/9121-003","9121-003")</f>
        <v>9121-003</v>
      </c>
      <c r="B16324" s="10" t="s">
        <v>15302</v>
      </c>
    </row>
    <row r="16325" spans="1:2" x14ac:dyDescent="0.3">
      <c r="A16325" s="7" t="str">
        <f>HYPERLINK("http://www.eatonpowersource.com/products/details/9135-002","9135-002")</f>
        <v>9135-002</v>
      </c>
      <c r="B16325" s="8" t="s">
        <v>15303</v>
      </c>
    </row>
    <row r="16326" spans="1:2" x14ac:dyDescent="0.3">
      <c r="A16326" s="9" t="str">
        <f>HYPERLINK("http://www.eatonpowersource.com/products/details/9151-001","9151-001")</f>
        <v>9151-001</v>
      </c>
      <c r="B16326" s="10" t="s">
        <v>15304</v>
      </c>
    </row>
    <row r="16327" spans="1:2" x14ac:dyDescent="0.3">
      <c r="A16327" s="7" t="str">
        <f>HYPERLINK("http://www.eatonpowersource.com/products/details/9151-002","9151-002")</f>
        <v>9151-002</v>
      </c>
      <c r="B16327" s="8" t="s">
        <v>15291</v>
      </c>
    </row>
    <row r="16328" spans="1:2" x14ac:dyDescent="0.3">
      <c r="A16328" s="9" t="str">
        <f>HYPERLINK("http://www.eatonpowersource.com/products/details/9151-004","9151-004")</f>
        <v>9151-004</v>
      </c>
      <c r="B16328" s="10" t="s">
        <v>15305</v>
      </c>
    </row>
    <row r="16329" spans="1:2" x14ac:dyDescent="0.3">
      <c r="A16329" s="7" t="str">
        <f>HYPERLINK("http://www.eatonpowersource.com/products/details/9151-009","9151-009")</f>
        <v>9151-009</v>
      </c>
      <c r="B16329" s="8" t="s">
        <v>15306</v>
      </c>
    </row>
    <row r="16330" spans="1:2" x14ac:dyDescent="0.3">
      <c r="A16330" s="9" t="str">
        <f>HYPERLINK("http://www.eatonpowersource.com/products/details/9170-002","9170-002")</f>
        <v>9170-002</v>
      </c>
      <c r="B16330" s="10" t="s">
        <v>15307</v>
      </c>
    </row>
    <row r="16331" spans="1:2" x14ac:dyDescent="0.3">
      <c r="A16331" s="7" t="str">
        <f>HYPERLINK("http://www.eatonpowersource.com/products/details/9233-001","9233-001")</f>
        <v>9233-001</v>
      </c>
      <c r="B16331" s="8" t="s">
        <v>10004</v>
      </c>
    </row>
    <row r="16332" spans="1:2" x14ac:dyDescent="0.3">
      <c r="A16332" s="9" t="str">
        <f>HYPERLINK("http://www.eatonpowersource.com/products/details/9237-002","9237-002")</f>
        <v>9237-002</v>
      </c>
      <c r="B16332" s="10" t="s">
        <v>15308</v>
      </c>
    </row>
    <row r="16333" spans="1:2" x14ac:dyDescent="0.3">
      <c r="A16333" s="7" t="str">
        <f>HYPERLINK("http://www.eatonpowersource.com/products/details/9266-006","9266-006")</f>
        <v>9266-006</v>
      </c>
      <c r="B16333" s="8" t="s">
        <v>15309</v>
      </c>
    </row>
    <row r="16334" spans="1:2" x14ac:dyDescent="0.3">
      <c r="A16334" s="9" t="str">
        <f>HYPERLINK("http://www.eatonpowersource.com/products/details/9289-004","9289-004")</f>
        <v>9289-004</v>
      </c>
      <c r="B16334" s="10" t="s">
        <v>15310</v>
      </c>
    </row>
    <row r="16335" spans="1:2" x14ac:dyDescent="0.3">
      <c r="A16335" s="7" t="str">
        <f>HYPERLINK("http://www.eatonpowersource.com/products/details/92999-000","92999-000")</f>
        <v>92999-000</v>
      </c>
      <c r="B16335" s="8" t="s">
        <v>15311</v>
      </c>
    </row>
    <row r="16336" spans="1:2" x14ac:dyDescent="0.3">
      <c r="A16336" s="9" t="str">
        <f>HYPERLINK("http://www.eatonpowersource.com/products/details/93895-000","93895-000")</f>
        <v>93895-000</v>
      </c>
      <c r="B16336" s="10" t="s">
        <v>15311</v>
      </c>
    </row>
    <row r="16337" spans="1:2" x14ac:dyDescent="0.3">
      <c r="A16337" s="7" t="str">
        <f>HYPERLINK("http://www.eatonpowersource.com/products/details/93902-000","93902-000")</f>
        <v>93902-000</v>
      </c>
      <c r="B16337" s="8" t="s">
        <v>15312</v>
      </c>
    </row>
    <row r="16338" spans="1:2" x14ac:dyDescent="0.3">
      <c r="A16338" s="9" t="str">
        <f>HYPERLINK("http://www.eatonpowersource.com/products/details/93955-000","93955-000")</f>
        <v>93955-000</v>
      </c>
      <c r="B16338" s="10" t="s">
        <v>15313</v>
      </c>
    </row>
    <row r="16339" spans="1:2" x14ac:dyDescent="0.3">
      <c r="A16339" s="7" t="str">
        <f>HYPERLINK("http://www.eatonpowersource.com/products/details/9458-000","9458-000")</f>
        <v>9458-000</v>
      </c>
      <c r="B16339" s="8" t="s">
        <v>9989</v>
      </c>
    </row>
    <row r="16340" spans="1:2" x14ac:dyDescent="0.3">
      <c r="A16340" s="9" t="str">
        <f>HYPERLINK("http://www.eatonpowersource.com/products/details/9476-000","9476-000")</f>
        <v>9476-000</v>
      </c>
      <c r="B16340" s="10" t="s">
        <v>15314</v>
      </c>
    </row>
    <row r="16341" spans="1:2" x14ac:dyDescent="0.3">
      <c r="A16341" s="7" t="str">
        <f>HYPERLINK("http://www.eatonpowersource.com/products/details/95060-000","95060-000")</f>
        <v>95060-000</v>
      </c>
      <c r="B16341" s="8" t="s">
        <v>15315</v>
      </c>
    </row>
    <row r="16342" spans="1:2" x14ac:dyDescent="0.3">
      <c r="A16342" s="9" t="str">
        <f>HYPERLINK("http://www.eatonpowersource.com/products/details/95214-000","95214-000")</f>
        <v>95214-000</v>
      </c>
      <c r="B16342" s="10" t="s">
        <v>14524</v>
      </c>
    </row>
    <row r="16343" spans="1:2" x14ac:dyDescent="0.3">
      <c r="A16343" s="7" t="str">
        <f>HYPERLINK("http://www.eatonpowersource.com/products/details/95675-000","95675-000")</f>
        <v>95675-000</v>
      </c>
      <c r="B16343" s="8" t="s">
        <v>15316</v>
      </c>
    </row>
    <row r="16344" spans="1:2" x14ac:dyDescent="0.3">
      <c r="A16344" s="9" t="str">
        <f>HYPERLINK("http://www.eatonpowersource.com/products/details/95707-000","95707-000")</f>
        <v>95707-000</v>
      </c>
      <c r="B16344" s="10" t="s">
        <v>15317</v>
      </c>
    </row>
    <row r="16345" spans="1:2" x14ac:dyDescent="0.3">
      <c r="A16345" s="7" t="str">
        <f>HYPERLINK("http://www.eatonpowersource.com/products/details/95729-000","95729-000")</f>
        <v>95729-000</v>
      </c>
      <c r="B16345" s="8" t="s">
        <v>15318</v>
      </c>
    </row>
    <row r="16346" spans="1:2" x14ac:dyDescent="0.3">
      <c r="A16346" s="9" t="str">
        <f>HYPERLINK("http://www.eatonpowersource.com/products/details/95733-054","95733-054")</f>
        <v>95733-054</v>
      </c>
      <c r="B16346" s="10" t="s">
        <v>15319</v>
      </c>
    </row>
    <row r="16347" spans="1:2" x14ac:dyDescent="0.3">
      <c r="A16347" s="7" t="str">
        <f>HYPERLINK("http://www.eatonpowersource.com/products/details/95791-000","95791-000")</f>
        <v>95791-000</v>
      </c>
      <c r="B16347" s="8" t="s">
        <v>15320</v>
      </c>
    </row>
    <row r="16348" spans="1:2" x14ac:dyDescent="0.3">
      <c r="A16348" s="9" t="str">
        <f>HYPERLINK("http://www.eatonpowersource.com/products/details/95836-000","95836-000")</f>
        <v>95836-000</v>
      </c>
      <c r="B16348" s="10" t="s">
        <v>15321</v>
      </c>
    </row>
    <row r="16349" spans="1:2" x14ac:dyDescent="0.3">
      <c r="A16349" s="7" t="str">
        <f>HYPERLINK("http://www.eatonpowersource.com/products/details/95837-000","95837-000")</f>
        <v>95837-000</v>
      </c>
      <c r="B16349" s="8" t="s">
        <v>15322</v>
      </c>
    </row>
    <row r="16350" spans="1:2" x14ac:dyDescent="0.3">
      <c r="A16350" s="9" t="str">
        <f>HYPERLINK("http://www.eatonpowersource.com/products/details/95844-000","95844-000")</f>
        <v>95844-000</v>
      </c>
      <c r="B16350" s="10" t="s">
        <v>15323</v>
      </c>
    </row>
    <row r="16351" spans="1:2" x14ac:dyDescent="0.3">
      <c r="A16351" s="7" t="str">
        <f>HYPERLINK("http://www.eatonpowersource.com/products/details/95860-000","95860-000")</f>
        <v>95860-000</v>
      </c>
      <c r="B16351" s="8" t="s">
        <v>15324</v>
      </c>
    </row>
    <row r="16352" spans="1:2" x14ac:dyDescent="0.3">
      <c r="A16352" s="9" t="str">
        <f>HYPERLINK("http://www.eatonpowersource.com/products/details/95862-100","95862-100")</f>
        <v>95862-100</v>
      </c>
      <c r="B16352" s="10" t="s">
        <v>15325</v>
      </c>
    </row>
    <row r="16353" spans="1:2" x14ac:dyDescent="0.3">
      <c r="A16353" s="7" t="str">
        <f>HYPERLINK("http://www.eatonpowersource.com/products/details/95862-175","95862-175")</f>
        <v>95862-175</v>
      </c>
      <c r="B16353" s="8" t="s">
        <v>15326</v>
      </c>
    </row>
    <row r="16354" spans="1:2" x14ac:dyDescent="0.3">
      <c r="A16354" s="9" t="str">
        <f>HYPERLINK("http://www.eatonpowersource.com/products/details/95862-300","95862-300")</f>
        <v>95862-300</v>
      </c>
      <c r="B16354" s="10" t="s">
        <v>15327</v>
      </c>
    </row>
    <row r="16355" spans="1:2" x14ac:dyDescent="0.3">
      <c r="A16355" s="7" t="str">
        <f>HYPERLINK("http://www.eatonpowersource.com/products/details/95863-150","95863-150")</f>
        <v>95863-150</v>
      </c>
      <c r="B16355" s="8" t="s">
        <v>15328</v>
      </c>
    </row>
    <row r="16356" spans="1:2" x14ac:dyDescent="0.3">
      <c r="A16356" s="9" t="str">
        <f>HYPERLINK("http://www.eatonpowersource.com/products/details/95890-038","95890-038")</f>
        <v>95890-038</v>
      </c>
      <c r="B16356" s="10" t="s">
        <v>15329</v>
      </c>
    </row>
    <row r="16357" spans="1:2" x14ac:dyDescent="0.3">
      <c r="A16357" s="7" t="str">
        <f>HYPERLINK("http://www.eatonpowersource.com/products/details/95905-225","95905-225")</f>
        <v>95905-225</v>
      </c>
      <c r="B16357" s="8" t="s">
        <v>15330</v>
      </c>
    </row>
    <row r="16358" spans="1:2" x14ac:dyDescent="0.3">
      <c r="A16358" s="9" t="str">
        <f>HYPERLINK("http://www.eatonpowersource.com/products/details/95912-100","95912-100")</f>
        <v>95912-100</v>
      </c>
      <c r="B16358" s="10" t="s">
        <v>15331</v>
      </c>
    </row>
    <row r="16359" spans="1:2" x14ac:dyDescent="0.3">
      <c r="A16359" s="7" t="str">
        <f>HYPERLINK("http://www.eatonpowersource.com/products/details/95912-175","95912-175")</f>
        <v>95912-175</v>
      </c>
      <c r="B16359" s="8" t="s">
        <v>15331</v>
      </c>
    </row>
    <row r="16360" spans="1:2" x14ac:dyDescent="0.3">
      <c r="A16360" s="9" t="str">
        <f>HYPERLINK("http://www.eatonpowersource.com/products/details/95912-200","95912-200")</f>
        <v>95912-200</v>
      </c>
      <c r="B16360" s="10" t="s">
        <v>15331</v>
      </c>
    </row>
    <row r="16361" spans="1:2" x14ac:dyDescent="0.3">
      <c r="A16361" s="7" t="str">
        <f>HYPERLINK("http://www.eatonpowersource.com/products/details/95912-225","95912-225")</f>
        <v>95912-225</v>
      </c>
      <c r="B16361" s="8" t="s">
        <v>15332</v>
      </c>
    </row>
    <row r="16362" spans="1:2" x14ac:dyDescent="0.3">
      <c r="A16362" s="9" t="str">
        <f>HYPERLINK("http://www.eatonpowersource.com/products/details/95912-350","95912-350")</f>
        <v>95912-350</v>
      </c>
      <c r="B16362" s="10" t="s">
        <v>15331</v>
      </c>
    </row>
    <row r="16363" spans="1:2" x14ac:dyDescent="0.3">
      <c r="A16363" s="7" t="str">
        <f>HYPERLINK("http://www.eatonpowersource.com/products/details/95912-375","95912-375")</f>
        <v>95912-375</v>
      </c>
      <c r="B16363" s="8" t="s">
        <v>15332</v>
      </c>
    </row>
    <row r="16364" spans="1:2" x14ac:dyDescent="0.3">
      <c r="A16364" s="9" t="str">
        <f>HYPERLINK("http://www.eatonpowersource.com/products/details/95912-400","95912-400")</f>
        <v>95912-400</v>
      </c>
      <c r="B16364" s="10" t="s">
        <v>15332</v>
      </c>
    </row>
    <row r="16365" spans="1:2" x14ac:dyDescent="0.3">
      <c r="A16365" s="7" t="str">
        <f>HYPERLINK("http://www.eatonpowersource.com/products/details/96081-031","96081-031")</f>
        <v>96081-031</v>
      </c>
      <c r="B16365" s="8" t="s">
        <v>15333</v>
      </c>
    </row>
    <row r="16366" spans="1:2" x14ac:dyDescent="0.3">
      <c r="A16366" s="9" t="str">
        <f>HYPERLINK("http://www.eatonpowersource.com/products/details/96097-050","96097-050")</f>
        <v>96097-050</v>
      </c>
      <c r="B16366" s="10" t="s">
        <v>15334</v>
      </c>
    </row>
    <row r="16367" spans="1:2" x14ac:dyDescent="0.3">
      <c r="A16367" s="7" t="str">
        <f>HYPERLINK("http://www.eatonpowersource.com/products/details/96098-025","96098-025")</f>
        <v>96098-025</v>
      </c>
      <c r="B16367" s="8" t="s">
        <v>15335</v>
      </c>
    </row>
    <row r="16368" spans="1:2" x14ac:dyDescent="0.3">
      <c r="A16368" s="9" t="str">
        <f>HYPERLINK("http://www.eatonpowersource.com/products/details/96098-056","96098-056")</f>
        <v>96098-056</v>
      </c>
      <c r="B16368" s="10" t="s">
        <v>15335</v>
      </c>
    </row>
    <row r="16369" spans="1:2" x14ac:dyDescent="0.3">
      <c r="A16369" s="7" t="str">
        <f>HYPERLINK("http://www.eatonpowersource.com/products/details/96098-062","96098-062")</f>
        <v>96098-062</v>
      </c>
      <c r="B16369" s="8" t="s">
        <v>9989</v>
      </c>
    </row>
    <row r="16370" spans="1:2" x14ac:dyDescent="0.3">
      <c r="A16370" s="9" t="str">
        <f>HYPERLINK("http://www.eatonpowersource.com/products/details/96098-075","96098-075")</f>
        <v>96098-075</v>
      </c>
      <c r="B16370" s="10" t="s">
        <v>15336</v>
      </c>
    </row>
    <row r="16371" spans="1:2" x14ac:dyDescent="0.3">
      <c r="A16371" s="7" t="str">
        <f>HYPERLINK("http://www.eatonpowersource.com/products/details/96100-031","96100-031")</f>
        <v>96100-031</v>
      </c>
      <c r="B16371" s="8" t="s">
        <v>15337</v>
      </c>
    </row>
    <row r="16372" spans="1:2" x14ac:dyDescent="0.3">
      <c r="A16372" s="9" t="str">
        <f>HYPERLINK("http://www.eatonpowersource.com/products/details/96108-400","96108-400")</f>
        <v>96108-400</v>
      </c>
      <c r="B16372" s="10" t="s">
        <v>15338</v>
      </c>
    </row>
    <row r="16373" spans="1:2" x14ac:dyDescent="0.3">
      <c r="A16373" s="7" t="str">
        <f>HYPERLINK("http://www.eatonpowersource.com/products/details/96201-088","96201-088")</f>
        <v>96201-088</v>
      </c>
      <c r="B16373" s="8" t="s">
        <v>15339</v>
      </c>
    </row>
    <row r="16374" spans="1:2" x14ac:dyDescent="0.3">
      <c r="A16374" s="9" t="str">
        <f>HYPERLINK("http://www.eatonpowersource.com/products/details/96281-005","96281-005")</f>
        <v>96281-005</v>
      </c>
      <c r="B16374" s="10" t="s">
        <v>14147</v>
      </c>
    </row>
    <row r="16375" spans="1:2" x14ac:dyDescent="0.3">
      <c r="A16375" s="7" t="str">
        <f>HYPERLINK("http://www.eatonpowersource.com/products/details/96281-009","96281-009")</f>
        <v>96281-009</v>
      </c>
      <c r="B16375" s="8" t="s">
        <v>14147</v>
      </c>
    </row>
    <row r="16376" spans="1:2" x14ac:dyDescent="0.3">
      <c r="A16376" s="9" t="str">
        <f>HYPERLINK("http://www.eatonpowersource.com/products/details/96898-000","96898-000")</f>
        <v>96898-000</v>
      </c>
      <c r="B16376" s="10" t="s">
        <v>15340</v>
      </c>
    </row>
    <row r="16377" spans="1:2" x14ac:dyDescent="0.3">
      <c r="A16377" s="7" t="str">
        <f>HYPERLINK("http://www.eatonpowersource.com/products/details/97121-000","97121-000")</f>
        <v>97121-000</v>
      </c>
      <c r="B16377" s="8" t="s">
        <v>9989</v>
      </c>
    </row>
    <row r="16378" spans="1:2" x14ac:dyDescent="0.3">
      <c r="A16378" s="9" t="str">
        <f>HYPERLINK("http://www.eatonpowersource.com/products/details/97501-000","97501-000")</f>
        <v>97501-000</v>
      </c>
      <c r="B16378" s="10" t="s">
        <v>15341</v>
      </c>
    </row>
    <row r="16379" spans="1:2" x14ac:dyDescent="0.3">
      <c r="A16379" s="7" t="str">
        <f>HYPERLINK("http://www.eatonpowersource.com/products/details/97734-000","97734-000")</f>
        <v>97734-000</v>
      </c>
      <c r="B16379" s="8" t="s">
        <v>15342</v>
      </c>
    </row>
    <row r="16380" spans="1:2" x14ac:dyDescent="0.3">
      <c r="A16380" s="9" t="str">
        <f>HYPERLINK("http://www.eatonpowersource.com/products/details/98011-000","98011-000")</f>
        <v>98011-000</v>
      </c>
      <c r="B16380" s="10" t="s">
        <v>15343</v>
      </c>
    </row>
    <row r="16381" spans="1:2" x14ac:dyDescent="0.3">
      <c r="A16381" s="7" t="str">
        <f>HYPERLINK("http://www.eatonpowersource.com/products/details/98012-000","98012-000")</f>
        <v>98012-000</v>
      </c>
      <c r="B16381" s="8" t="s">
        <v>15344</v>
      </c>
    </row>
    <row r="16382" spans="1:2" x14ac:dyDescent="0.3">
      <c r="A16382" s="9" t="str">
        <f>HYPERLINK("http://www.eatonpowersource.com/products/details/98038-010","98038-010")</f>
        <v>98038-010</v>
      </c>
      <c r="B16382" s="10" t="s">
        <v>15345</v>
      </c>
    </row>
    <row r="16383" spans="1:2" x14ac:dyDescent="0.3">
      <c r="A16383" s="7" t="str">
        <f>HYPERLINK("http://www.eatonpowersource.com/products/details/9900014-000","9900014-000")</f>
        <v>9900014-000</v>
      </c>
      <c r="B16383" s="8" t="s">
        <v>15346</v>
      </c>
    </row>
    <row r="16384" spans="1:2" x14ac:dyDescent="0.3">
      <c r="A16384" s="9" t="str">
        <f>HYPERLINK("http://www.eatonpowersource.com/products/details/9900016-000","9900016-000")</f>
        <v>9900016-000</v>
      </c>
      <c r="B16384" s="10" t="s">
        <v>15347</v>
      </c>
    </row>
    <row r="16385" spans="1:2" x14ac:dyDescent="0.3">
      <c r="A16385" s="7" t="str">
        <f>HYPERLINK("http://www.eatonpowersource.com/products/details/9900017-000","9900017-000")</f>
        <v>9900017-000</v>
      </c>
      <c r="B16385" s="8" t="s">
        <v>15347</v>
      </c>
    </row>
    <row r="16386" spans="1:2" x14ac:dyDescent="0.3">
      <c r="A16386" s="9" t="str">
        <f>HYPERLINK("http://www.eatonpowersource.com/products/details/9900023-000","9900023-000")</f>
        <v>9900023-000</v>
      </c>
      <c r="B16386" s="10" t="s">
        <v>15348</v>
      </c>
    </row>
    <row r="16387" spans="1:2" x14ac:dyDescent="0.3">
      <c r="A16387" s="7" t="str">
        <f>HYPERLINK("http://www.eatonpowersource.com/products/details/990003-001","990003-001")</f>
        <v>990003-001</v>
      </c>
      <c r="B16387" s="8" t="s">
        <v>15349</v>
      </c>
    </row>
    <row r="16388" spans="1:2" x14ac:dyDescent="0.3">
      <c r="A16388" s="9" t="str">
        <f>HYPERLINK("http://www.eatonpowersource.com/products/details/9900033-000","9900033-000")</f>
        <v>9900033-000</v>
      </c>
      <c r="B16388" s="10" t="s">
        <v>15350</v>
      </c>
    </row>
    <row r="16389" spans="1:2" x14ac:dyDescent="0.3">
      <c r="A16389" s="7" t="str">
        <f>HYPERLINK("http://www.eatonpowersource.com/products/details/9900034-000","9900034-000")</f>
        <v>9900034-000</v>
      </c>
      <c r="B16389" s="8" t="s">
        <v>15351</v>
      </c>
    </row>
    <row r="16390" spans="1:2" x14ac:dyDescent="0.3">
      <c r="A16390" s="9" t="str">
        <f>HYPERLINK("http://www.eatonpowersource.com/products/details/9900035-000","9900035-000")</f>
        <v>9900035-000</v>
      </c>
      <c r="B16390" s="10" t="s">
        <v>15352</v>
      </c>
    </row>
    <row r="16391" spans="1:2" x14ac:dyDescent="0.3">
      <c r="A16391" s="7" t="str">
        <f>HYPERLINK("http://www.eatonpowersource.com/products/details/9900036-000","9900036-000")</f>
        <v>9900036-000</v>
      </c>
      <c r="B16391" s="8" t="s">
        <v>15353</v>
      </c>
    </row>
    <row r="16392" spans="1:2" x14ac:dyDescent="0.3">
      <c r="A16392" s="9" t="str">
        <f>HYPERLINK("http://www.eatonpowersource.com/products/details/9900037-000","9900037-000")</f>
        <v>9900037-000</v>
      </c>
      <c r="B16392" s="10" t="s">
        <v>15354</v>
      </c>
    </row>
    <row r="16393" spans="1:2" x14ac:dyDescent="0.3">
      <c r="A16393" s="7" t="str">
        <f>HYPERLINK("http://www.eatonpowersource.com/products/details/9900038-000","9900038-000")</f>
        <v>9900038-000</v>
      </c>
      <c r="B16393" s="8" t="s">
        <v>15355</v>
      </c>
    </row>
    <row r="16394" spans="1:2" x14ac:dyDescent="0.3">
      <c r="A16394" s="9" t="str">
        <f>HYPERLINK("http://www.eatonpowersource.com/products/details/9900043-000","9900043-000")</f>
        <v>9900043-000</v>
      </c>
      <c r="B16394" s="10" t="s">
        <v>15356</v>
      </c>
    </row>
    <row r="16395" spans="1:2" x14ac:dyDescent="0.3">
      <c r="A16395" s="7" t="str">
        <f>HYPERLINK("http://www.eatonpowersource.com/products/details/9900044-000","9900044-000")</f>
        <v>9900044-000</v>
      </c>
      <c r="B16395" s="8" t="s">
        <v>15357</v>
      </c>
    </row>
    <row r="16396" spans="1:2" x14ac:dyDescent="0.3">
      <c r="A16396" s="9" t="str">
        <f>HYPERLINK("http://www.eatonpowersource.com/products/details/9900067-000","9900067-000")</f>
        <v>9900067-000</v>
      </c>
      <c r="B16396" s="10" t="s">
        <v>15358</v>
      </c>
    </row>
    <row r="16397" spans="1:2" x14ac:dyDescent="0.3">
      <c r="A16397" s="7" t="str">
        <f>HYPERLINK("http://www.eatonpowersource.com/products/details/9900069-000","9900069-000")</f>
        <v>9900069-000</v>
      </c>
      <c r="B16397" s="8" t="s">
        <v>15358</v>
      </c>
    </row>
    <row r="16398" spans="1:2" x14ac:dyDescent="0.3">
      <c r="A16398" s="9" t="str">
        <f>HYPERLINK("http://www.eatonpowersource.com/products/details/9900075-000","9900075-000")</f>
        <v>9900075-000</v>
      </c>
      <c r="B16398" s="10" t="s">
        <v>15359</v>
      </c>
    </row>
    <row r="16399" spans="1:2" x14ac:dyDescent="0.3">
      <c r="A16399" s="7" t="str">
        <f>HYPERLINK("http://www.eatonpowersource.com/products/details/9900085-000","9900085-000")</f>
        <v>9900085-000</v>
      </c>
      <c r="B16399" s="8" t="s">
        <v>15360</v>
      </c>
    </row>
    <row r="16400" spans="1:2" x14ac:dyDescent="0.3">
      <c r="A16400" s="9" t="str">
        <f>HYPERLINK("http://www.eatonpowersource.com/products/details/990009-022","990009-022")</f>
        <v>990009-022</v>
      </c>
      <c r="B16400" s="10" t="s">
        <v>15361</v>
      </c>
    </row>
    <row r="16401" spans="1:2" x14ac:dyDescent="0.3">
      <c r="A16401" s="7" t="str">
        <f>HYPERLINK("http://www.eatonpowersource.com/products/details/990009-028","990009-028")</f>
        <v>990009-028</v>
      </c>
      <c r="B16401" s="8" t="s">
        <v>15361</v>
      </c>
    </row>
    <row r="16402" spans="1:2" x14ac:dyDescent="0.3">
      <c r="A16402" s="9" t="str">
        <f>HYPERLINK("http://www.eatonpowersource.com/products/details/9900098-000","9900098-000")</f>
        <v>9900098-000</v>
      </c>
      <c r="B16402" s="10" t="s">
        <v>2797</v>
      </c>
    </row>
    <row r="16403" spans="1:2" x14ac:dyDescent="0.3">
      <c r="A16403" s="7" t="str">
        <f>HYPERLINK("http://www.eatonpowersource.com/products/details/9900100-000","9900100-000")</f>
        <v>9900100-000</v>
      </c>
      <c r="B16403" s="8" t="s">
        <v>2797</v>
      </c>
    </row>
    <row r="16404" spans="1:2" x14ac:dyDescent="0.3">
      <c r="A16404" s="9" t="str">
        <f>HYPERLINK("http://www.eatonpowersource.com/products/details/990010-030","990010-030")</f>
        <v>990010-030</v>
      </c>
      <c r="B16404" s="10" t="s">
        <v>15362</v>
      </c>
    </row>
    <row r="16405" spans="1:2" x14ac:dyDescent="0.3">
      <c r="A16405" s="7" t="str">
        <f>HYPERLINK("http://www.eatonpowersource.com/products/details/9900101-000","9900101-000")</f>
        <v>9900101-000</v>
      </c>
      <c r="B16405" s="8" t="s">
        <v>15363</v>
      </c>
    </row>
    <row r="16406" spans="1:2" x14ac:dyDescent="0.3">
      <c r="A16406" s="9" t="str">
        <f>HYPERLINK("http://www.eatonpowersource.com/products/details/9900111-002","9900111-002")</f>
        <v>9900111-002</v>
      </c>
      <c r="B16406" s="10" t="s">
        <v>14835</v>
      </c>
    </row>
    <row r="16407" spans="1:2" x14ac:dyDescent="0.3">
      <c r="A16407" s="7" t="str">
        <f>HYPERLINK("http://www.eatonpowersource.com/products/details/990012-000","990012-000")</f>
        <v>990012-000</v>
      </c>
      <c r="B16407" s="8" t="s">
        <v>15364</v>
      </c>
    </row>
    <row r="16408" spans="1:2" x14ac:dyDescent="0.3">
      <c r="A16408" s="9" t="str">
        <f>HYPERLINK("http://www.eatonpowersource.com/products/details/990013-000","990013-000")</f>
        <v>990013-000</v>
      </c>
      <c r="B16408" s="10" t="s">
        <v>15364</v>
      </c>
    </row>
    <row r="16409" spans="1:2" x14ac:dyDescent="0.3">
      <c r="A16409" s="7" t="str">
        <f>HYPERLINK("http://www.eatonpowersource.com/products/details/9900135-000","9900135-000")</f>
        <v>9900135-000</v>
      </c>
      <c r="B16409" s="8" t="s">
        <v>15365</v>
      </c>
    </row>
    <row r="16410" spans="1:2" x14ac:dyDescent="0.3">
      <c r="A16410" s="9" t="str">
        <f>HYPERLINK("http://www.eatonpowersource.com/products/details/990014-000","990014-000")</f>
        <v>990014-000</v>
      </c>
      <c r="B16410" s="10" t="s">
        <v>15366</v>
      </c>
    </row>
    <row r="16411" spans="1:2" x14ac:dyDescent="0.3">
      <c r="A16411" s="7" t="str">
        <f>HYPERLINK("http://www.eatonpowersource.com/products/details/9900141-000","9900141-000")</f>
        <v>9900141-000</v>
      </c>
      <c r="B16411" s="8" t="s">
        <v>15367</v>
      </c>
    </row>
    <row r="16412" spans="1:2" x14ac:dyDescent="0.3">
      <c r="A16412" s="9" t="str">
        <f>HYPERLINK("http://www.eatonpowersource.com/products/details/9900146-000","9900146-000")</f>
        <v>9900146-000</v>
      </c>
      <c r="B16412" s="10" t="s">
        <v>15368</v>
      </c>
    </row>
    <row r="16413" spans="1:2" x14ac:dyDescent="0.3">
      <c r="A16413" s="7" t="str">
        <f>HYPERLINK("http://www.eatonpowersource.com/products/details/9900147-000","9900147-000")</f>
        <v>9900147-000</v>
      </c>
      <c r="B16413" s="8" t="s">
        <v>15369</v>
      </c>
    </row>
    <row r="16414" spans="1:2" x14ac:dyDescent="0.3">
      <c r="A16414" s="9" t="str">
        <f>HYPERLINK("http://www.eatonpowersource.com/products/details/990015-000","990015-000")</f>
        <v>990015-000</v>
      </c>
      <c r="B16414" s="10" t="s">
        <v>15370</v>
      </c>
    </row>
    <row r="16415" spans="1:2" x14ac:dyDescent="0.3">
      <c r="A16415" s="7" t="str">
        <f>HYPERLINK("http://www.eatonpowersource.com/products/details/990016-000","990016-000")</f>
        <v>990016-000</v>
      </c>
      <c r="B16415" s="8" t="s">
        <v>15370</v>
      </c>
    </row>
    <row r="16416" spans="1:2" x14ac:dyDescent="0.3">
      <c r="A16416" s="9" t="str">
        <f>HYPERLINK("http://www.eatonpowersource.com/products/details/9900164-000","9900164-000")</f>
        <v>9900164-000</v>
      </c>
      <c r="B16416" s="10" t="s">
        <v>15371</v>
      </c>
    </row>
    <row r="16417" spans="1:2" x14ac:dyDescent="0.3">
      <c r="A16417" s="7" t="str">
        <f>HYPERLINK("http://www.eatonpowersource.com/products/details/990019-000","990019-000")</f>
        <v>990019-000</v>
      </c>
      <c r="B16417" s="8" t="s">
        <v>15372</v>
      </c>
    </row>
    <row r="16418" spans="1:2" x14ac:dyDescent="0.3">
      <c r="A16418" s="9" t="str">
        <f>HYPERLINK("http://www.eatonpowersource.com/products/details/9900194-003","9900194-003")</f>
        <v>9900194-003</v>
      </c>
      <c r="B16418" s="10" t="s">
        <v>15373</v>
      </c>
    </row>
    <row r="16419" spans="1:2" x14ac:dyDescent="0.3">
      <c r="A16419" s="7" t="str">
        <f>HYPERLINK("http://www.eatonpowersource.com/products/details/9900194-004","9900194-004")</f>
        <v>9900194-004</v>
      </c>
      <c r="B16419" s="8" t="s">
        <v>15374</v>
      </c>
    </row>
    <row r="16420" spans="1:2" x14ac:dyDescent="0.3">
      <c r="A16420" s="9" t="str">
        <f>HYPERLINK("http://www.eatonpowersource.com/products/details/9900194-008","9900194-008")</f>
        <v>9900194-008</v>
      </c>
      <c r="B16420" s="10" t="s">
        <v>15375</v>
      </c>
    </row>
    <row r="16421" spans="1:2" x14ac:dyDescent="0.3">
      <c r="A16421" s="7" t="str">
        <f>HYPERLINK("http://www.eatonpowersource.com/products/details/9900197-000","9900197-000")</f>
        <v>9900197-000</v>
      </c>
      <c r="B16421" s="8" t="s">
        <v>15376</v>
      </c>
    </row>
    <row r="16422" spans="1:2" x14ac:dyDescent="0.3">
      <c r="A16422" s="9" t="str">
        <f>HYPERLINK("http://www.eatonpowersource.com/products/details/9900202-000","9900202-000")</f>
        <v>9900202-000</v>
      </c>
      <c r="B16422" s="10" t="s">
        <v>15377</v>
      </c>
    </row>
    <row r="16423" spans="1:2" x14ac:dyDescent="0.3">
      <c r="A16423" s="7" t="str">
        <f>HYPERLINK("http://www.eatonpowersource.com/products/details/9900203-000","9900203-000")</f>
        <v>9900203-000</v>
      </c>
      <c r="B16423" s="8" t="s">
        <v>15378</v>
      </c>
    </row>
    <row r="16424" spans="1:2" x14ac:dyDescent="0.3">
      <c r="A16424" s="9" t="str">
        <f>HYPERLINK("http://www.eatonpowersource.com/products/details/9900205-000","9900205-000")</f>
        <v>9900205-000</v>
      </c>
      <c r="B16424" s="10" t="s">
        <v>14835</v>
      </c>
    </row>
    <row r="16425" spans="1:2" x14ac:dyDescent="0.3">
      <c r="A16425" s="7" t="str">
        <f>HYPERLINK("http://www.eatonpowersource.com/products/details/9900206-000","9900206-000")</f>
        <v>9900206-000</v>
      </c>
      <c r="B16425" s="8" t="s">
        <v>14835</v>
      </c>
    </row>
    <row r="16426" spans="1:2" x14ac:dyDescent="0.3">
      <c r="A16426" s="9" t="str">
        <f>HYPERLINK("http://www.eatonpowersource.com/products/details/9900211-000","9900211-000")</f>
        <v>9900211-000</v>
      </c>
      <c r="B16426" s="10" t="s">
        <v>15379</v>
      </c>
    </row>
    <row r="16427" spans="1:2" x14ac:dyDescent="0.3">
      <c r="A16427" s="7" t="str">
        <f>HYPERLINK("http://www.eatonpowersource.com/products/details/9900214-000","9900214-000")</f>
        <v>9900214-000</v>
      </c>
      <c r="B16427" s="8" t="s">
        <v>15380</v>
      </c>
    </row>
    <row r="16428" spans="1:2" x14ac:dyDescent="0.3">
      <c r="A16428" s="9" t="str">
        <f>HYPERLINK("http://www.eatonpowersource.com/products/details/9900218-000","9900218-000")</f>
        <v>9900218-000</v>
      </c>
      <c r="B16428" s="10" t="s">
        <v>14835</v>
      </c>
    </row>
    <row r="16429" spans="1:2" x14ac:dyDescent="0.3">
      <c r="A16429" s="7" t="str">
        <f>HYPERLINK("http://www.eatonpowersource.com/products/details/9900228-000","9900228-000")</f>
        <v>9900228-000</v>
      </c>
      <c r="B16429" s="8" t="s">
        <v>15381</v>
      </c>
    </row>
    <row r="16430" spans="1:2" x14ac:dyDescent="0.3">
      <c r="A16430" s="9" t="str">
        <f>HYPERLINK("http://www.eatonpowersource.com/products/details/990024-000","990024-000")</f>
        <v>990024-000</v>
      </c>
      <c r="B16430" s="10" t="s">
        <v>15382</v>
      </c>
    </row>
    <row r="16431" spans="1:2" x14ac:dyDescent="0.3">
      <c r="A16431" s="7" t="str">
        <f>HYPERLINK("http://www.eatonpowersource.com/products/details/9900243-000","9900243-000")</f>
        <v>9900243-000</v>
      </c>
      <c r="B16431" s="8" t="s">
        <v>15018</v>
      </c>
    </row>
    <row r="16432" spans="1:2" x14ac:dyDescent="0.3">
      <c r="A16432" s="9" t="str">
        <f>HYPERLINK("http://www.eatonpowersource.com/products/details/9900249-000","9900249-000")</f>
        <v>9900249-000</v>
      </c>
      <c r="B16432" s="10" t="s">
        <v>15383</v>
      </c>
    </row>
    <row r="16433" spans="1:2" x14ac:dyDescent="0.3">
      <c r="A16433" s="7" t="str">
        <f>HYPERLINK("http://www.eatonpowersource.com/products/details/990025-000","990025-000")</f>
        <v>990025-000</v>
      </c>
      <c r="B16433" s="8" t="s">
        <v>15384</v>
      </c>
    </row>
    <row r="16434" spans="1:2" x14ac:dyDescent="0.3">
      <c r="A16434" s="9" t="str">
        <f>HYPERLINK("http://www.eatonpowersource.com/products/details/9900252-000","9900252-000")</f>
        <v>9900252-000</v>
      </c>
      <c r="B16434" s="10" t="s">
        <v>15385</v>
      </c>
    </row>
    <row r="16435" spans="1:2" x14ac:dyDescent="0.3">
      <c r="A16435" s="7" t="str">
        <f>HYPERLINK("http://www.eatonpowersource.com/products/details/9900256-000","9900256-000")</f>
        <v>9900256-000</v>
      </c>
      <c r="B16435" s="8" t="s">
        <v>2797</v>
      </c>
    </row>
    <row r="16436" spans="1:2" x14ac:dyDescent="0.3">
      <c r="A16436" s="9" t="str">
        <f>HYPERLINK("http://www.eatonpowersource.com/products/details/9900265-000","9900265-000")</f>
        <v>9900265-000</v>
      </c>
      <c r="B16436" s="10" t="s">
        <v>15386</v>
      </c>
    </row>
    <row r="16437" spans="1:2" x14ac:dyDescent="0.3">
      <c r="A16437" s="7" t="str">
        <f>HYPERLINK("http://www.eatonpowersource.com/products/details/9900267-003","9900267-003")</f>
        <v>9900267-003</v>
      </c>
      <c r="B16437" s="8" t="s">
        <v>15387</v>
      </c>
    </row>
    <row r="16438" spans="1:2" x14ac:dyDescent="0.3">
      <c r="A16438" s="9" t="str">
        <f>HYPERLINK("http://www.eatonpowersource.com/products/details/9900275-000","9900275-000")</f>
        <v>9900275-000</v>
      </c>
      <c r="B16438" s="10" t="s">
        <v>15388</v>
      </c>
    </row>
    <row r="16439" spans="1:2" x14ac:dyDescent="0.3">
      <c r="A16439" s="7" t="str">
        <f>HYPERLINK("http://www.eatonpowersource.com/products/details/9900276-001","9900276-001")</f>
        <v>9900276-001</v>
      </c>
      <c r="B16439" s="8" t="s">
        <v>15389</v>
      </c>
    </row>
    <row r="16440" spans="1:2" x14ac:dyDescent="0.3">
      <c r="A16440" s="9" t="str">
        <f>HYPERLINK("http://www.eatonpowersource.com/products/details/9900287-000","9900287-000")</f>
        <v>9900287-000</v>
      </c>
      <c r="B16440" s="10" t="s">
        <v>2797</v>
      </c>
    </row>
    <row r="16441" spans="1:2" x14ac:dyDescent="0.3">
      <c r="A16441" s="7" t="str">
        <f>HYPERLINK("http://www.eatonpowersource.com/products/details/9900288-000","9900288-000")</f>
        <v>9900288-000</v>
      </c>
      <c r="B16441" s="8" t="s">
        <v>2797</v>
      </c>
    </row>
    <row r="16442" spans="1:2" x14ac:dyDescent="0.3">
      <c r="A16442" s="9" t="str">
        <f>HYPERLINK("http://www.eatonpowersource.com/products/details/9900289-000","9900289-000")</f>
        <v>9900289-000</v>
      </c>
      <c r="B16442" s="10" t="s">
        <v>2797</v>
      </c>
    </row>
    <row r="16443" spans="1:2" x14ac:dyDescent="0.3">
      <c r="A16443" s="7" t="str">
        <f>HYPERLINK("http://www.eatonpowersource.com/products/details/990029-001","990029-001")</f>
        <v>990029-001</v>
      </c>
      <c r="B16443" s="8" t="s">
        <v>2797</v>
      </c>
    </row>
    <row r="16444" spans="1:2" x14ac:dyDescent="0.3">
      <c r="A16444" s="9" t="str">
        <f>HYPERLINK("http://www.eatonpowersource.com/products/details/9900302-000","9900302-000")</f>
        <v>9900302-000</v>
      </c>
      <c r="B16444" s="10" t="s">
        <v>2797</v>
      </c>
    </row>
    <row r="16445" spans="1:2" x14ac:dyDescent="0.3">
      <c r="A16445" s="7" t="str">
        <f>HYPERLINK("http://www.eatonpowersource.com/products/details/9900317-000","9900317-000")</f>
        <v>9900317-000</v>
      </c>
      <c r="B16445" s="8" t="s">
        <v>14835</v>
      </c>
    </row>
    <row r="16446" spans="1:2" x14ac:dyDescent="0.3">
      <c r="A16446" s="9" t="str">
        <f>HYPERLINK("http://www.eatonpowersource.com/products/details/9900341-000","9900341-000")</f>
        <v>9900341-000</v>
      </c>
      <c r="B16446" s="10" t="s">
        <v>14835</v>
      </c>
    </row>
    <row r="16447" spans="1:2" x14ac:dyDescent="0.3">
      <c r="A16447" s="7" t="str">
        <f>HYPERLINK("http://www.eatonpowersource.com/products/details/9900344-001","9900344-001")</f>
        <v>9900344-001</v>
      </c>
      <c r="B16447" s="8" t="s">
        <v>2797</v>
      </c>
    </row>
    <row r="16448" spans="1:2" x14ac:dyDescent="0.3">
      <c r="A16448" s="9" t="str">
        <f>HYPERLINK("http://www.eatonpowersource.com/products/details/9900348-000","9900348-000")</f>
        <v>9900348-000</v>
      </c>
      <c r="B16448" s="10" t="s">
        <v>15368</v>
      </c>
    </row>
    <row r="16449" spans="1:2" x14ac:dyDescent="0.3">
      <c r="A16449" s="7" t="str">
        <f>HYPERLINK("http://www.eatonpowersource.com/products/details/9900349-000","9900349-000")</f>
        <v>9900349-000</v>
      </c>
      <c r="B16449" s="8" t="s">
        <v>15390</v>
      </c>
    </row>
    <row r="16450" spans="1:2" x14ac:dyDescent="0.3">
      <c r="A16450" s="9" t="str">
        <f>HYPERLINK("http://www.eatonpowersource.com/products/details/9900352-000","9900352-000")</f>
        <v>9900352-000</v>
      </c>
      <c r="B16450" s="10" t="s">
        <v>15391</v>
      </c>
    </row>
    <row r="16451" spans="1:2" x14ac:dyDescent="0.3">
      <c r="A16451" s="7" t="str">
        <f>HYPERLINK("http://www.eatonpowersource.com/products/details/9900362-000","9900362-000")</f>
        <v>9900362-000</v>
      </c>
      <c r="B16451" s="8" t="s">
        <v>15392</v>
      </c>
    </row>
    <row r="16452" spans="1:2" x14ac:dyDescent="0.3">
      <c r="A16452" s="9" t="str">
        <f>HYPERLINK("http://www.eatonpowersource.com/products/details/990037-000","990037-000")</f>
        <v>990037-000</v>
      </c>
      <c r="B16452" s="10" t="s">
        <v>15393</v>
      </c>
    </row>
    <row r="16453" spans="1:2" x14ac:dyDescent="0.3">
      <c r="A16453" s="7" t="str">
        <f>HYPERLINK("http://www.eatonpowersource.com/products/details/9900374-000","9900374-000")</f>
        <v>9900374-000</v>
      </c>
      <c r="B16453" s="8" t="s">
        <v>15394</v>
      </c>
    </row>
    <row r="16454" spans="1:2" x14ac:dyDescent="0.3">
      <c r="A16454" s="9" t="str">
        <f>HYPERLINK("http://www.eatonpowersource.com/products/details/9900387-000","9900387-000")</f>
        <v>9900387-000</v>
      </c>
      <c r="B16454" s="10" t="s">
        <v>15018</v>
      </c>
    </row>
    <row r="16455" spans="1:2" x14ac:dyDescent="0.3">
      <c r="A16455" s="7" t="str">
        <f>HYPERLINK("http://www.eatonpowersource.com/products/details/990039-300","990039-300")</f>
        <v>990039-300</v>
      </c>
      <c r="B16455" s="8" t="s">
        <v>15395</v>
      </c>
    </row>
    <row r="16456" spans="1:2" x14ac:dyDescent="0.3">
      <c r="A16456" s="9" t="str">
        <f>HYPERLINK("http://www.eatonpowersource.com/products/details/990039-350","990039-350")</f>
        <v>990039-350</v>
      </c>
      <c r="B16456" s="10" t="s">
        <v>15395</v>
      </c>
    </row>
    <row r="16457" spans="1:2" x14ac:dyDescent="0.3">
      <c r="A16457" s="7" t="str">
        <f>HYPERLINK("http://www.eatonpowersource.com/products/details/990039-500","990039-500")</f>
        <v>990039-500</v>
      </c>
      <c r="B16457" s="8" t="s">
        <v>15395</v>
      </c>
    </row>
    <row r="16458" spans="1:2" x14ac:dyDescent="0.3">
      <c r="A16458" s="9" t="str">
        <f>HYPERLINK("http://www.eatonpowersource.com/products/details/9900395-000","9900395-000")</f>
        <v>9900395-000</v>
      </c>
      <c r="B16458" s="10" t="s">
        <v>15396</v>
      </c>
    </row>
    <row r="16459" spans="1:2" x14ac:dyDescent="0.3">
      <c r="A16459" s="7" t="str">
        <f>HYPERLINK("http://www.eatonpowersource.com/products/details/990039-600","990039-600")</f>
        <v>990039-600</v>
      </c>
      <c r="B16459" s="8" t="s">
        <v>15395</v>
      </c>
    </row>
    <row r="16460" spans="1:2" x14ac:dyDescent="0.3">
      <c r="A16460" s="9" t="str">
        <f>HYPERLINK("http://www.eatonpowersource.com/products/details/9900404-000","9900404-000")</f>
        <v>9900404-000</v>
      </c>
      <c r="B16460" s="10" t="s">
        <v>15018</v>
      </c>
    </row>
    <row r="16461" spans="1:2" x14ac:dyDescent="0.3">
      <c r="A16461" s="7" t="str">
        <f>HYPERLINK("http://www.eatonpowersource.com/products/details/9900407-000","9900407-000")</f>
        <v>9900407-000</v>
      </c>
      <c r="B16461" s="8" t="s">
        <v>15397</v>
      </c>
    </row>
    <row r="16462" spans="1:2" x14ac:dyDescent="0.3">
      <c r="A16462" s="9" t="str">
        <f>HYPERLINK("http://www.eatonpowersource.com/products/details/9900408-000","9900408-000")</f>
        <v>9900408-000</v>
      </c>
      <c r="B16462" s="10" t="s">
        <v>15398</v>
      </c>
    </row>
    <row r="16463" spans="1:2" x14ac:dyDescent="0.3">
      <c r="A16463" s="7" t="str">
        <f>HYPERLINK("http://www.eatonpowersource.com/products/details/9900409-000","9900409-000")</f>
        <v>9900409-000</v>
      </c>
      <c r="B16463" s="8" t="s">
        <v>15399</v>
      </c>
    </row>
    <row r="16464" spans="1:2" x14ac:dyDescent="0.3">
      <c r="A16464" s="9" t="str">
        <f>HYPERLINK("http://www.eatonpowersource.com/products/details/9900436-000","9900436-000")</f>
        <v>9900436-000</v>
      </c>
      <c r="B16464" s="10" t="s">
        <v>15400</v>
      </c>
    </row>
    <row r="16465" spans="1:2" x14ac:dyDescent="0.3">
      <c r="A16465" s="7" t="str">
        <f>HYPERLINK("http://www.eatonpowersource.com/products/details/9900437-000","9900437-000")</f>
        <v>9900437-000</v>
      </c>
      <c r="B16465" s="8" t="s">
        <v>15401</v>
      </c>
    </row>
    <row r="16466" spans="1:2" x14ac:dyDescent="0.3">
      <c r="A16466" s="9" t="str">
        <f>HYPERLINK("http://www.eatonpowersource.com/products/details/9900441-000","9900441-000")</f>
        <v>9900441-000</v>
      </c>
      <c r="B16466" s="10" t="s">
        <v>15402</v>
      </c>
    </row>
    <row r="16467" spans="1:2" x14ac:dyDescent="0.3">
      <c r="A16467" s="7" t="str">
        <f>HYPERLINK("http://www.eatonpowersource.com/products/details/9900462-000","9900462-000")</f>
        <v>9900462-000</v>
      </c>
      <c r="B16467" s="8" t="s">
        <v>15403</v>
      </c>
    </row>
    <row r="16468" spans="1:2" x14ac:dyDescent="0.3">
      <c r="A16468" s="9" t="str">
        <f>HYPERLINK("http://www.eatonpowersource.com/products/details/9900471-000","9900471-000")</f>
        <v>9900471-000</v>
      </c>
      <c r="B16468" s="10" t="s">
        <v>15404</v>
      </c>
    </row>
    <row r="16469" spans="1:2" x14ac:dyDescent="0.3">
      <c r="A16469" s="7" t="str">
        <f>HYPERLINK("http://www.eatonpowersource.com/products/details/9900472-000","9900472-000")</f>
        <v>9900472-000</v>
      </c>
      <c r="B16469" s="8" t="s">
        <v>15405</v>
      </c>
    </row>
    <row r="16470" spans="1:2" x14ac:dyDescent="0.3">
      <c r="A16470" s="9" t="str">
        <f>HYPERLINK("http://www.eatonpowersource.com/products/details/9900486-000","9900486-000")</f>
        <v>9900486-000</v>
      </c>
      <c r="B16470" s="10" t="s">
        <v>9798</v>
      </c>
    </row>
    <row r="16471" spans="1:2" x14ac:dyDescent="0.3">
      <c r="A16471" s="7" t="str">
        <f>HYPERLINK("http://www.eatonpowersource.com/products/details/9900489-000","9900489-000")</f>
        <v>9900489-000</v>
      </c>
      <c r="B16471" s="8" t="s">
        <v>15018</v>
      </c>
    </row>
    <row r="16472" spans="1:2" x14ac:dyDescent="0.3">
      <c r="A16472" s="9" t="str">
        <f>HYPERLINK("http://www.eatonpowersource.com/products/details/9900490-000","9900490-000")</f>
        <v>9900490-000</v>
      </c>
      <c r="B16472" s="10" t="s">
        <v>15406</v>
      </c>
    </row>
    <row r="16473" spans="1:2" x14ac:dyDescent="0.3">
      <c r="A16473" s="7" t="str">
        <f>HYPERLINK("http://www.eatonpowersource.com/products/details/9900492-000","9900492-000")</f>
        <v>9900492-000</v>
      </c>
      <c r="B16473" s="8" t="s">
        <v>15407</v>
      </c>
    </row>
    <row r="16474" spans="1:2" x14ac:dyDescent="0.3">
      <c r="A16474" s="9" t="str">
        <f>HYPERLINK("http://www.eatonpowersource.com/products/details/9900500-000","9900500-000")</f>
        <v>9900500-000</v>
      </c>
      <c r="B16474" s="10" t="s">
        <v>2797</v>
      </c>
    </row>
    <row r="16475" spans="1:2" x14ac:dyDescent="0.3">
      <c r="A16475" s="7" t="str">
        <f>HYPERLINK("http://www.eatonpowersource.com/products/details/9900512-010","9900512-010")</f>
        <v>9900512-010</v>
      </c>
      <c r="B16475" s="8" t="s">
        <v>15408</v>
      </c>
    </row>
    <row r="16476" spans="1:2" x14ac:dyDescent="0.3">
      <c r="A16476" s="9" t="str">
        <f>HYPERLINK("http://www.eatonpowersource.com/products/details/9900512-011","9900512-011")</f>
        <v>9900512-011</v>
      </c>
      <c r="B16476" s="10" t="s">
        <v>15409</v>
      </c>
    </row>
    <row r="16477" spans="1:2" x14ac:dyDescent="0.3">
      <c r="A16477" s="7" t="str">
        <f>HYPERLINK("http://www.eatonpowersource.com/products/details/9900512-018","9900512-018")</f>
        <v>9900512-018</v>
      </c>
      <c r="B16477" s="8" t="s">
        <v>15410</v>
      </c>
    </row>
    <row r="16478" spans="1:2" x14ac:dyDescent="0.3">
      <c r="A16478" s="9" t="str">
        <f>HYPERLINK("http://www.eatonpowersource.com/products/details/9900512-060","9900512-060")</f>
        <v>9900512-060</v>
      </c>
      <c r="B16478" s="10" t="s">
        <v>15411</v>
      </c>
    </row>
    <row r="16479" spans="1:2" x14ac:dyDescent="0.3">
      <c r="A16479" s="7" t="str">
        <f>HYPERLINK("http://www.eatonpowersource.com/products/details/990056-000","990056-000")</f>
        <v>990056-000</v>
      </c>
      <c r="B16479" s="8" t="s">
        <v>15412</v>
      </c>
    </row>
    <row r="16480" spans="1:2" x14ac:dyDescent="0.3">
      <c r="A16480" s="9" t="str">
        <f>HYPERLINK("http://www.eatonpowersource.com/products/details/990057-000","990057-000")</f>
        <v>990057-000</v>
      </c>
      <c r="B16480" s="10" t="s">
        <v>15413</v>
      </c>
    </row>
    <row r="16481" spans="1:2" x14ac:dyDescent="0.3">
      <c r="A16481" s="7" t="str">
        <f>HYPERLINK("http://www.eatonpowersource.com/products/details/990058-000","990058-000")</f>
        <v>990058-000</v>
      </c>
      <c r="B16481" s="8" t="s">
        <v>15414</v>
      </c>
    </row>
    <row r="16482" spans="1:2" x14ac:dyDescent="0.3">
      <c r="A16482" s="9" t="str">
        <f>HYPERLINK("http://www.eatonpowersource.com/products/details/990059-000","990059-000")</f>
        <v>990059-000</v>
      </c>
      <c r="B16482" s="10" t="s">
        <v>15382</v>
      </c>
    </row>
    <row r="16483" spans="1:2" x14ac:dyDescent="0.3">
      <c r="A16483" s="7" t="str">
        <f>HYPERLINK("http://www.eatonpowersource.com/products/details/990060-000","990060-000")</f>
        <v>990060-000</v>
      </c>
      <c r="B16483" s="8" t="s">
        <v>15364</v>
      </c>
    </row>
    <row r="16484" spans="1:2" x14ac:dyDescent="0.3">
      <c r="A16484" s="9" t="str">
        <f>HYPERLINK("http://www.eatonpowersource.com/products/details/990061-052","990061-052")</f>
        <v>990061-052</v>
      </c>
      <c r="B16484" s="10" t="s">
        <v>15415</v>
      </c>
    </row>
    <row r="16485" spans="1:2" x14ac:dyDescent="0.3">
      <c r="A16485" s="7" t="str">
        <f>HYPERLINK("http://www.eatonpowersource.com/products/details/990061-073","990061-073")</f>
        <v>990061-073</v>
      </c>
      <c r="B16485" s="8" t="s">
        <v>15416</v>
      </c>
    </row>
    <row r="16486" spans="1:2" x14ac:dyDescent="0.3">
      <c r="A16486" s="9" t="str">
        <f>HYPERLINK("http://www.eatonpowersource.com/products/details/9900611-000","9900611-000")</f>
        <v>9900611-000</v>
      </c>
      <c r="B16486" s="10" t="s">
        <v>15040</v>
      </c>
    </row>
    <row r="16487" spans="1:2" x14ac:dyDescent="0.3">
      <c r="A16487" s="7" t="str">
        <f>HYPERLINK("http://www.eatonpowersource.com/products/details/9900618-000","9900618-000")</f>
        <v>9900618-000</v>
      </c>
      <c r="B16487" s="8" t="s">
        <v>15417</v>
      </c>
    </row>
    <row r="16488" spans="1:2" x14ac:dyDescent="0.3">
      <c r="A16488" s="9" t="str">
        <f>HYPERLINK("http://www.eatonpowersource.com/products/details/9900619-000","9900619-000")</f>
        <v>9900619-000</v>
      </c>
      <c r="B16488" s="10" t="s">
        <v>15040</v>
      </c>
    </row>
    <row r="16489" spans="1:2" x14ac:dyDescent="0.3">
      <c r="A16489" s="7" t="str">
        <f>HYPERLINK("http://www.eatonpowersource.com/products/details/9900621-000","9900621-000")</f>
        <v>9900621-000</v>
      </c>
      <c r="B16489" s="8" t="s">
        <v>15418</v>
      </c>
    </row>
    <row r="16490" spans="1:2" x14ac:dyDescent="0.3">
      <c r="A16490" s="9" t="str">
        <f>HYPERLINK("http://www.eatonpowersource.com/products/details/9900633-000","9900633-000")</f>
        <v>9900633-000</v>
      </c>
      <c r="B16490" s="10" t="s">
        <v>15419</v>
      </c>
    </row>
    <row r="16491" spans="1:2" x14ac:dyDescent="0.3">
      <c r="A16491" s="7" t="str">
        <f>HYPERLINK("http://www.eatonpowersource.com/products/details/9900634-000","9900634-000")</f>
        <v>9900634-000</v>
      </c>
      <c r="B16491" s="8" t="s">
        <v>15420</v>
      </c>
    </row>
    <row r="16492" spans="1:2" x14ac:dyDescent="0.3">
      <c r="A16492" s="9" t="str">
        <f>HYPERLINK("http://www.eatonpowersource.com/products/details/9900642-000","9900642-000")</f>
        <v>9900642-000</v>
      </c>
      <c r="B16492" s="10" t="s">
        <v>15407</v>
      </c>
    </row>
    <row r="16493" spans="1:2" x14ac:dyDescent="0.3">
      <c r="A16493" s="7" t="str">
        <f>HYPERLINK("http://www.eatonpowersource.com/products/details/9900661-000","9900661-000")</f>
        <v>9900661-000</v>
      </c>
      <c r="B16493" s="8" t="s">
        <v>15421</v>
      </c>
    </row>
    <row r="16494" spans="1:2" x14ac:dyDescent="0.3">
      <c r="A16494" s="9" t="str">
        <f>HYPERLINK("http://www.eatonpowersource.com/products/details/9900664-000","9900664-000")</f>
        <v>9900664-000</v>
      </c>
      <c r="B16494" s="10" t="s">
        <v>15422</v>
      </c>
    </row>
    <row r="16495" spans="1:2" x14ac:dyDescent="0.3">
      <c r="A16495" s="7" t="str">
        <f>HYPERLINK("http://www.eatonpowersource.com/products/details/990067-000","990067-000")</f>
        <v>990067-000</v>
      </c>
      <c r="B16495" s="8" t="s">
        <v>15423</v>
      </c>
    </row>
    <row r="16496" spans="1:2" x14ac:dyDescent="0.3">
      <c r="A16496" s="9" t="str">
        <f>HYPERLINK("http://www.eatonpowersource.com/products/details/9900680-000","9900680-000")</f>
        <v>9900680-000</v>
      </c>
      <c r="B16496" s="10" t="s">
        <v>15424</v>
      </c>
    </row>
    <row r="16497" spans="1:2" x14ac:dyDescent="0.3">
      <c r="A16497" s="7" t="str">
        <f>HYPERLINK("http://www.eatonpowersource.com/products/details/9900681-000","9900681-000")</f>
        <v>9900681-000</v>
      </c>
      <c r="B16497" s="8" t="s">
        <v>15424</v>
      </c>
    </row>
    <row r="16498" spans="1:2" x14ac:dyDescent="0.3">
      <c r="A16498" s="9" t="str">
        <f>HYPERLINK("http://www.eatonpowersource.com/products/details/9900682-000","9900682-000")</f>
        <v>9900682-000</v>
      </c>
      <c r="B16498" s="10" t="s">
        <v>15425</v>
      </c>
    </row>
    <row r="16499" spans="1:2" x14ac:dyDescent="0.3">
      <c r="A16499" s="7" t="str">
        <f>HYPERLINK("http://www.eatonpowersource.com/products/details/9900684-000","9900684-000")</f>
        <v>9900684-000</v>
      </c>
      <c r="B16499" s="8" t="s">
        <v>15017</v>
      </c>
    </row>
    <row r="16500" spans="1:2" x14ac:dyDescent="0.3">
      <c r="A16500" s="9" t="str">
        <f>HYPERLINK("http://www.eatonpowersource.com/products/details/9900688-000","9900688-000")</f>
        <v>9900688-000</v>
      </c>
      <c r="B16500" s="10" t="s">
        <v>15426</v>
      </c>
    </row>
    <row r="16501" spans="1:2" x14ac:dyDescent="0.3">
      <c r="A16501" s="7" t="str">
        <f>HYPERLINK("http://www.eatonpowersource.com/products/details/9900691-000","9900691-000")</f>
        <v>9900691-000</v>
      </c>
      <c r="B16501" s="8" t="s">
        <v>15427</v>
      </c>
    </row>
    <row r="16502" spans="1:2" x14ac:dyDescent="0.3">
      <c r="A16502" s="9" t="str">
        <f>HYPERLINK("http://www.eatonpowersource.com/products/details/990071-000","990071-000")</f>
        <v>990071-000</v>
      </c>
      <c r="B16502" s="10" t="s">
        <v>15428</v>
      </c>
    </row>
    <row r="16503" spans="1:2" x14ac:dyDescent="0.3">
      <c r="A16503" s="7" t="str">
        <f>HYPERLINK("http://www.eatonpowersource.com/products/details/9900716-000","9900716-000")</f>
        <v>9900716-000</v>
      </c>
      <c r="B16503" s="8" t="s">
        <v>15424</v>
      </c>
    </row>
    <row r="16504" spans="1:2" x14ac:dyDescent="0.3">
      <c r="A16504" s="9" t="str">
        <f>HYPERLINK("http://www.eatonpowersource.com/products/details/990074-000","990074-000")</f>
        <v>990074-000</v>
      </c>
      <c r="B16504" s="10" t="s">
        <v>15429</v>
      </c>
    </row>
    <row r="16505" spans="1:2" x14ac:dyDescent="0.3">
      <c r="A16505" s="7" t="str">
        <f>HYPERLINK("http://www.eatonpowersource.com/products/details/9900749-000","9900749-000")</f>
        <v>9900749-000</v>
      </c>
      <c r="B16505" s="8" t="s">
        <v>15430</v>
      </c>
    </row>
    <row r="16506" spans="1:2" x14ac:dyDescent="0.3">
      <c r="A16506" s="9" t="str">
        <f>HYPERLINK("http://www.eatonpowersource.com/products/details/990075-000","990075-000")</f>
        <v>990075-000</v>
      </c>
      <c r="B16506" s="10" t="s">
        <v>15431</v>
      </c>
    </row>
    <row r="16507" spans="1:2" x14ac:dyDescent="0.3">
      <c r="A16507" s="7" t="str">
        <f>HYPERLINK("http://www.eatonpowersource.com/products/details/9900752-000","9900752-000")</f>
        <v>9900752-000</v>
      </c>
      <c r="B16507" s="8" t="s">
        <v>2797</v>
      </c>
    </row>
    <row r="16508" spans="1:2" x14ac:dyDescent="0.3">
      <c r="A16508" s="9" t="str">
        <f>HYPERLINK("http://www.eatonpowersource.com/products/details/9900754-000","9900754-000")</f>
        <v>9900754-000</v>
      </c>
      <c r="B16508" s="10" t="s">
        <v>15432</v>
      </c>
    </row>
    <row r="16509" spans="1:2" x14ac:dyDescent="0.3">
      <c r="A16509" s="7" t="str">
        <f>HYPERLINK("http://www.eatonpowersource.com/products/details/9900758-000","9900758-000")</f>
        <v>9900758-000</v>
      </c>
      <c r="B16509" s="8" t="s">
        <v>15433</v>
      </c>
    </row>
    <row r="16510" spans="1:2" x14ac:dyDescent="0.3">
      <c r="A16510" s="9" t="str">
        <f>HYPERLINK("http://www.eatonpowersource.com/products/details/9900760-000","9900760-000")</f>
        <v>9900760-000</v>
      </c>
      <c r="B16510" s="10" t="s">
        <v>15434</v>
      </c>
    </row>
    <row r="16511" spans="1:2" x14ac:dyDescent="0.3">
      <c r="A16511" s="7" t="str">
        <f>HYPERLINK("http://www.eatonpowersource.com/products/details/9900768-001","9900768-001")</f>
        <v>9900768-001</v>
      </c>
      <c r="B16511" s="8" t="s">
        <v>15435</v>
      </c>
    </row>
    <row r="16512" spans="1:2" x14ac:dyDescent="0.3">
      <c r="A16512" s="9" t="str">
        <f>HYPERLINK("http://www.eatonpowersource.com/products/details/990077-000","990077-000")</f>
        <v>990077-000</v>
      </c>
      <c r="B16512" s="10" t="s">
        <v>15436</v>
      </c>
    </row>
    <row r="16513" spans="1:2" x14ac:dyDescent="0.3">
      <c r="A16513" s="7" t="str">
        <f>HYPERLINK("http://www.eatonpowersource.com/products/details/9900771-002","9900771-002")</f>
        <v>9900771-002</v>
      </c>
      <c r="B16513" s="8" t="s">
        <v>15437</v>
      </c>
    </row>
    <row r="16514" spans="1:2" x14ac:dyDescent="0.3">
      <c r="A16514" s="9" t="str">
        <f>HYPERLINK("http://www.eatonpowersource.com/products/details/9900774-001","9900774-001")</f>
        <v>9900774-001</v>
      </c>
      <c r="B16514" s="10" t="s">
        <v>15438</v>
      </c>
    </row>
    <row r="16515" spans="1:2" x14ac:dyDescent="0.3">
      <c r="A16515" s="7" t="str">
        <f>HYPERLINK("http://www.eatonpowersource.com/products/details/9900777-000","9900777-000")</f>
        <v>9900777-000</v>
      </c>
      <c r="B16515" s="8" t="s">
        <v>15439</v>
      </c>
    </row>
    <row r="16516" spans="1:2" x14ac:dyDescent="0.3">
      <c r="A16516" s="9" t="str">
        <f>HYPERLINK("http://www.eatonpowersource.com/products/details/990078-000","990078-000")</f>
        <v>990078-000</v>
      </c>
      <c r="B16516" s="10" t="s">
        <v>15416</v>
      </c>
    </row>
    <row r="16517" spans="1:2" x14ac:dyDescent="0.3">
      <c r="A16517" s="7" t="str">
        <f>HYPERLINK("http://www.eatonpowersource.com/products/details/9900804-000","9900804-000")</f>
        <v>9900804-000</v>
      </c>
      <c r="B16517" s="8" t="s">
        <v>15440</v>
      </c>
    </row>
    <row r="16518" spans="1:2" x14ac:dyDescent="0.3">
      <c r="A16518" s="9" t="str">
        <f>HYPERLINK("http://www.eatonpowersource.com/products/details/9900808-000","9900808-000")</f>
        <v>9900808-000</v>
      </c>
      <c r="B16518" s="10" t="s">
        <v>15441</v>
      </c>
    </row>
    <row r="16519" spans="1:2" x14ac:dyDescent="0.3">
      <c r="A16519" s="7" t="str">
        <f>HYPERLINK("http://www.eatonpowersource.com/products/details/990083-000","990083-000")</f>
        <v>990083-000</v>
      </c>
      <c r="B16519" s="8" t="s">
        <v>15389</v>
      </c>
    </row>
    <row r="16520" spans="1:2" x14ac:dyDescent="0.3">
      <c r="A16520" s="9" t="str">
        <f>HYPERLINK("http://www.eatonpowersource.com/products/details/9900846-000","9900846-000")</f>
        <v>9900846-000</v>
      </c>
      <c r="B16520" s="10" t="s">
        <v>15442</v>
      </c>
    </row>
    <row r="16521" spans="1:2" x14ac:dyDescent="0.3">
      <c r="A16521" s="7" t="str">
        <f>HYPERLINK("http://www.eatonpowersource.com/products/details/9900849-000","9900849-000")</f>
        <v>9900849-000</v>
      </c>
      <c r="B16521" s="8" t="s">
        <v>15443</v>
      </c>
    </row>
    <row r="16522" spans="1:2" x14ac:dyDescent="0.3">
      <c r="A16522" s="9" t="str">
        <f>HYPERLINK("http://www.eatonpowersource.com/products/details/9900851-000","9900851-000")</f>
        <v>9900851-000</v>
      </c>
      <c r="B16522" s="10" t="s">
        <v>15444</v>
      </c>
    </row>
    <row r="16523" spans="1:2" x14ac:dyDescent="0.3">
      <c r="A16523" s="7" t="str">
        <f>HYPERLINK("http://www.eatonpowersource.com/products/details/9900862-000","9900862-000")</f>
        <v>9900862-000</v>
      </c>
      <c r="B16523" s="8" t="s">
        <v>15441</v>
      </c>
    </row>
    <row r="16524" spans="1:2" x14ac:dyDescent="0.3">
      <c r="A16524" s="9" t="str">
        <f>HYPERLINK("http://www.eatonpowersource.com/products/details/9900863-000","9900863-000")</f>
        <v>9900863-000</v>
      </c>
      <c r="B16524" s="10" t="s">
        <v>15445</v>
      </c>
    </row>
    <row r="16525" spans="1:2" x14ac:dyDescent="0.3">
      <c r="A16525" s="7" t="str">
        <f>HYPERLINK("http://www.eatonpowersource.com/products/details/9900876-000","9900876-000")</f>
        <v>9900876-000</v>
      </c>
      <c r="B16525" s="8" t="s">
        <v>15446</v>
      </c>
    </row>
    <row r="16526" spans="1:2" x14ac:dyDescent="0.3">
      <c r="A16526" s="9" t="str">
        <f>HYPERLINK("http://www.eatonpowersource.com/products/details/990088-000","990088-000")</f>
        <v>990088-000</v>
      </c>
      <c r="B16526" s="10" t="s">
        <v>15447</v>
      </c>
    </row>
    <row r="16527" spans="1:2" x14ac:dyDescent="0.3">
      <c r="A16527" s="7" t="str">
        <f>HYPERLINK("http://www.eatonpowersource.com/products/details/9900881-000","9900881-000")</f>
        <v>9900881-000</v>
      </c>
      <c r="B16527" s="8" t="s">
        <v>15448</v>
      </c>
    </row>
    <row r="16528" spans="1:2" x14ac:dyDescent="0.3">
      <c r="A16528" s="9" t="str">
        <f>HYPERLINK("http://www.eatonpowersource.com/products/details/990089-000","990089-000")</f>
        <v>990089-000</v>
      </c>
      <c r="B16528" s="10" t="s">
        <v>15449</v>
      </c>
    </row>
    <row r="16529" spans="1:2" x14ac:dyDescent="0.3">
      <c r="A16529" s="7" t="str">
        <f>HYPERLINK("http://www.eatonpowersource.com/products/details/9900891-000","9900891-000")</f>
        <v>9900891-000</v>
      </c>
      <c r="B16529" s="8" t="s">
        <v>15450</v>
      </c>
    </row>
    <row r="16530" spans="1:2" x14ac:dyDescent="0.3">
      <c r="A16530" s="9" t="str">
        <f>HYPERLINK("http://www.eatonpowersource.com/products/details/990090-000","990090-000")</f>
        <v>990090-000</v>
      </c>
      <c r="B16530" s="10" t="s">
        <v>15447</v>
      </c>
    </row>
    <row r="16531" spans="1:2" x14ac:dyDescent="0.3">
      <c r="A16531" s="7" t="str">
        <f>HYPERLINK("http://www.eatonpowersource.com/products/details/990091-000","990091-000")</f>
        <v>990091-000</v>
      </c>
      <c r="B16531" s="8" t="s">
        <v>15447</v>
      </c>
    </row>
    <row r="16532" spans="1:2" x14ac:dyDescent="0.3">
      <c r="A16532" s="9" t="str">
        <f>HYPERLINK("http://www.eatonpowersource.com/products/details/990092-001","990092-001")</f>
        <v>990092-001</v>
      </c>
      <c r="B16532" s="10" t="s">
        <v>15447</v>
      </c>
    </row>
    <row r="16533" spans="1:2" x14ac:dyDescent="0.3">
      <c r="A16533" s="7" t="str">
        <f>HYPERLINK("http://www.eatonpowersource.com/products/details/990093-001","990093-001")</f>
        <v>990093-001</v>
      </c>
      <c r="B16533" s="8" t="s">
        <v>15451</v>
      </c>
    </row>
    <row r="16534" spans="1:2" x14ac:dyDescent="0.3">
      <c r="A16534" s="9" t="str">
        <f>HYPERLINK("http://www.eatonpowersource.com/products/details/990094-001","990094-001")</f>
        <v>990094-001</v>
      </c>
      <c r="B16534" s="10" t="s">
        <v>15447</v>
      </c>
    </row>
    <row r="16535" spans="1:2" x14ac:dyDescent="0.3">
      <c r="A16535" s="7" t="str">
        <f>HYPERLINK("http://www.eatonpowersource.com/products/details/9900945-000","9900945-000")</f>
        <v>9900945-000</v>
      </c>
      <c r="B16535" s="8" t="s">
        <v>15452</v>
      </c>
    </row>
    <row r="16536" spans="1:2" x14ac:dyDescent="0.3">
      <c r="A16536" s="9" t="str">
        <f>HYPERLINK("http://www.eatonpowersource.com/products/details/990095-001","990095-001")</f>
        <v>990095-001</v>
      </c>
      <c r="B16536" s="10" t="s">
        <v>15453</v>
      </c>
    </row>
    <row r="16537" spans="1:2" x14ac:dyDescent="0.3">
      <c r="A16537" s="7" t="str">
        <f>HYPERLINK("http://www.eatonpowersource.com/products/details/9900958-000","9900958-000")</f>
        <v>9900958-000</v>
      </c>
      <c r="B16537" s="8" t="s">
        <v>15454</v>
      </c>
    </row>
    <row r="16538" spans="1:2" x14ac:dyDescent="0.3">
      <c r="A16538" s="9" t="str">
        <f>HYPERLINK("http://www.eatonpowersource.com/products/details/9900959-000","9900959-000")</f>
        <v>9900959-000</v>
      </c>
      <c r="B16538" s="10" t="s">
        <v>15455</v>
      </c>
    </row>
    <row r="16539" spans="1:2" x14ac:dyDescent="0.3">
      <c r="A16539" s="7" t="str">
        <f>HYPERLINK("http://www.eatonpowersource.com/products/details/990096-001","990096-001")</f>
        <v>990096-001</v>
      </c>
      <c r="B16539" s="8" t="s">
        <v>15456</v>
      </c>
    </row>
    <row r="16540" spans="1:2" x14ac:dyDescent="0.3">
      <c r="A16540" s="9" t="str">
        <f>HYPERLINK("http://www.eatonpowersource.com/products/details/9900973-000","9900973-000")</f>
        <v>9900973-000</v>
      </c>
      <c r="B16540" s="10" t="s">
        <v>15457</v>
      </c>
    </row>
    <row r="16541" spans="1:2" x14ac:dyDescent="0.3">
      <c r="A16541" s="7" t="str">
        <f>HYPERLINK("http://www.eatonpowersource.com/products/details/9900980-000","9900980-000")</f>
        <v>9900980-000</v>
      </c>
      <c r="B16541" s="8" t="s">
        <v>15458</v>
      </c>
    </row>
    <row r="16542" spans="1:2" x14ac:dyDescent="0.3">
      <c r="A16542" s="9" t="str">
        <f>HYPERLINK("http://www.eatonpowersource.com/products/details/990098-001","990098-001")</f>
        <v>990098-001</v>
      </c>
      <c r="B16542" s="10" t="s">
        <v>15447</v>
      </c>
    </row>
    <row r="16543" spans="1:2" x14ac:dyDescent="0.3">
      <c r="A16543" s="7" t="str">
        <f>HYPERLINK("http://www.eatonpowersource.com/products/details/9900983-000","9900983-000")</f>
        <v>9900983-000</v>
      </c>
      <c r="B16543" s="8" t="s">
        <v>15459</v>
      </c>
    </row>
    <row r="16544" spans="1:2" x14ac:dyDescent="0.3">
      <c r="A16544" s="9" t="str">
        <f>HYPERLINK("http://www.eatonpowersource.com/products/details/9900986-000","9900986-000")</f>
        <v>9900986-000</v>
      </c>
      <c r="B16544" s="10" t="s">
        <v>15460</v>
      </c>
    </row>
    <row r="16545" spans="1:2" x14ac:dyDescent="0.3">
      <c r="A16545" s="7" t="str">
        <f>HYPERLINK("http://www.eatonpowersource.com/products/details/9900990-000","9900990-000")</f>
        <v>9900990-000</v>
      </c>
      <c r="B16545" s="8" t="s">
        <v>15460</v>
      </c>
    </row>
    <row r="16546" spans="1:2" x14ac:dyDescent="0.3">
      <c r="A16546" s="9" t="str">
        <f>HYPERLINK("http://www.eatonpowersource.com/products/details/990099-001","990099-001")</f>
        <v>990099-001</v>
      </c>
      <c r="B16546" s="10" t="s">
        <v>15461</v>
      </c>
    </row>
    <row r="16547" spans="1:2" x14ac:dyDescent="0.3">
      <c r="A16547" s="7" t="str">
        <f>HYPERLINK("http://www.eatonpowersource.com/products/details/990104-000","990104-000")</f>
        <v>990104-000</v>
      </c>
      <c r="B16547" s="8" t="s">
        <v>15462</v>
      </c>
    </row>
    <row r="16548" spans="1:2" x14ac:dyDescent="0.3">
      <c r="A16548" s="9" t="str">
        <f>HYPERLINK("http://www.eatonpowersource.com/products/details/990106-000","990106-000")</f>
        <v>990106-000</v>
      </c>
      <c r="B16548" s="10" t="s">
        <v>15463</v>
      </c>
    </row>
    <row r="16549" spans="1:2" x14ac:dyDescent="0.3">
      <c r="A16549" s="7" t="str">
        <f>HYPERLINK("http://www.eatonpowersource.com/products/details/9901123-000","9901123-000")</f>
        <v>9901123-000</v>
      </c>
      <c r="B16549" s="8" t="s">
        <v>15464</v>
      </c>
    </row>
    <row r="16550" spans="1:2" x14ac:dyDescent="0.3">
      <c r="A16550" s="9" t="str">
        <f>HYPERLINK("http://www.eatonpowersource.com/products/details/9901135-000","9901135-000")</f>
        <v>9901135-000</v>
      </c>
      <c r="B16550" s="10" t="s">
        <v>15465</v>
      </c>
    </row>
    <row r="16551" spans="1:2" x14ac:dyDescent="0.3">
      <c r="A16551" s="7" t="str">
        <f>HYPERLINK("http://www.eatonpowersource.com/products/details/9901153-000","9901153-000")</f>
        <v>9901153-000</v>
      </c>
      <c r="B16551" s="8" t="s">
        <v>15466</v>
      </c>
    </row>
    <row r="16552" spans="1:2" x14ac:dyDescent="0.3">
      <c r="A16552" s="9" t="str">
        <f>HYPERLINK("http://www.eatonpowersource.com/products/details/9901192-000","9901192-000")</f>
        <v>9901192-000</v>
      </c>
      <c r="B16552" s="10" t="s">
        <v>15467</v>
      </c>
    </row>
    <row r="16553" spans="1:2" x14ac:dyDescent="0.3">
      <c r="A16553" s="7" t="str">
        <f>HYPERLINK("http://www.eatonpowersource.com/products/details/9901219-000","9901219-000")</f>
        <v>9901219-000</v>
      </c>
      <c r="B16553" s="8" t="s">
        <v>15468</v>
      </c>
    </row>
    <row r="16554" spans="1:2" x14ac:dyDescent="0.3">
      <c r="A16554" s="9" t="str">
        <f>HYPERLINK("http://www.eatonpowersource.com/products/details/9901258-000","9901258-000")</f>
        <v>9901258-000</v>
      </c>
      <c r="B16554" s="10" t="s">
        <v>15469</v>
      </c>
    </row>
    <row r="16555" spans="1:2" x14ac:dyDescent="0.3">
      <c r="A16555" s="7" t="str">
        <f>HYPERLINK("http://www.eatonpowersource.com/products/details/9901272-000","9901272-000")</f>
        <v>9901272-000</v>
      </c>
      <c r="B16555" s="8" t="s">
        <v>15470</v>
      </c>
    </row>
    <row r="16556" spans="1:2" x14ac:dyDescent="0.3">
      <c r="A16556" s="9" t="str">
        <f>HYPERLINK("http://www.eatonpowersource.com/products/details/9901276-002","9901276-002")</f>
        <v>9901276-002</v>
      </c>
      <c r="B16556" s="10" t="s">
        <v>15471</v>
      </c>
    </row>
    <row r="16557" spans="1:2" x14ac:dyDescent="0.3">
      <c r="A16557" s="7" t="str">
        <f>HYPERLINK("http://www.eatonpowersource.com/products/details/990195-000","990195-000")</f>
        <v>990195-000</v>
      </c>
      <c r="B16557" s="8" t="s">
        <v>15472</v>
      </c>
    </row>
    <row r="16558" spans="1:2" x14ac:dyDescent="0.3">
      <c r="A16558" s="9" t="str">
        <f>HYPERLINK("http://www.eatonpowersource.com/products/details/990231-000","990231-000")</f>
        <v>990231-000</v>
      </c>
      <c r="B16558" s="10" t="s">
        <v>15472</v>
      </c>
    </row>
    <row r="16559" spans="1:2" x14ac:dyDescent="0.3">
      <c r="A16559" s="7" t="str">
        <f>HYPERLINK("http://www.eatonpowersource.com/products/details/990241-073","990241-073")</f>
        <v>990241-073</v>
      </c>
      <c r="B16559" s="8" t="s">
        <v>15473</v>
      </c>
    </row>
    <row r="16560" spans="1:2" x14ac:dyDescent="0.3">
      <c r="A16560" s="9" t="str">
        <f>HYPERLINK("http://www.eatonpowersource.com/products/details/990243-052","990243-052")</f>
        <v>990243-052</v>
      </c>
      <c r="B16560" s="10" t="s">
        <v>15474</v>
      </c>
    </row>
    <row r="16561" spans="1:2" x14ac:dyDescent="0.3">
      <c r="A16561" s="7" t="str">
        <f>HYPERLINK("http://www.eatonpowersource.com/products/details/990287-000","990287-000")</f>
        <v>990287-000</v>
      </c>
      <c r="B16561" s="8" t="s">
        <v>2797</v>
      </c>
    </row>
    <row r="16562" spans="1:2" x14ac:dyDescent="0.3">
      <c r="A16562" s="9" t="str">
        <f>HYPERLINK("http://www.eatonpowersource.com/products/details/990310-000","990310-000")</f>
        <v>990310-000</v>
      </c>
      <c r="B16562" s="10" t="s">
        <v>15475</v>
      </c>
    </row>
    <row r="16563" spans="1:2" x14ac:dyDescent="0.3">
      <c r="A16563" s="7" t="str">
        <f>HYPERLINK("http://www.eatonpowersource.com/products/details/990311-000","990311-000")</f>
        <v>990311-000</v>
      </c>
      <c r="B16563" s="8" t="s">
        <v>15475</v>
      </c>
    </row>
    <row r="16564" spans="1:2" x14ac:dyDescent="0.3">
      <c r="A16564" s="9" t="str">
        <f>HYPERLINK("http://www.eatonpowersource.com/products/details/990312-000","990312-000")</f>
        <v>990312-000</v>
      </c>
      <c r="B16564" s="10" t="s">
        <v>15475</v>
      </c>
    </row>
    <row r="16565" spans="1:2" x14ac:dyDescent="0.3">
      <c r="A16565" s="7" t="str">
        <f>HYPERLINK("http://www.eatonpowersource.com/products/details/990314-000","990314-000")</f>
        <v>990314-000</v>
      </c>
      <c r="B16565" s="8" t="s">
        <v>15476</v>
      </c>
    </row>
    <row r="16566" spans="1:2" x14ac:dyDescent="0.3">
      <c r="A16566" s="9" t="str">
        <f>HYPERLINK("http://www.eatonpowersource.com/products/details/990315-000","990315-000")</f>
        <v>990315-000</v>
      </c>
      <c r="B16566" s="10" t="s">
        <v>15477</v>
      </c>
    </row>
    <row r="16567" spans="1:2" x14ac:dyDescent="0.3">
      <c r="A16567" s="7" t="str">
        <f>HYPERLINK("http://www.eatonpowersource.com/products/details/990319-052","990319-052")</f>
        <v>990319-052</v>
      </c>
      <c r="B16567" s="8" t="s">
        <v>15478</v>
      </c>
    </row>
    <row r="16568" spans="1:2" x14ac:dyDescent="0.3">
      <c r="A16568" s="9" t="str">
        <f>HYPERLINK("http://www.eatonpowersource.com/products/details/990320-000","990320-000")</f>
        <v>990320-000</v>
      </c>
      <c r="B16568" s="10" t="s">
        <v>15479</v>
      </c>
    </row>
    <row r="16569" spans="1:2" x14ac:dyDescent="0.3">
      <c r="A16569" s="7" t="str">
        <f>HYPERLINK("http://www.eatonpowersource.com/products/details/990329-000","990329-000")</f>
        <v>990329-000</v>
      </c>
      <c r="B16569" s="8" t="s">
        <v>15480</v>
      </c>
    </row>
    <row r="16570" spans="1:2" x14ac:dyDescent="0.3">
      <c r="A16570" s="9" t="str">
        <f>HYPERLINK("http://www.eatonpowersource.com/products/details/990344-000","990344-000")</f>
        <v>990344-000</v>
      </c>
      <c r="B16570" s="10" t="s">
        <v>15481</v>
      </c>
    </row>
    <row r="16571" spans="1:2" x14ac:dyDescent="0.3">
      <c r="A16571" s="7" t="str">
        <f>HYPERLINK("http://www.eatonpowersource.com/products/details/990345-000","990345-000")</f>
        <v>990345-000</v>
      </c>
      <c r="B16571" s="8" t="s">
        <v>15482</v>
      </c>
    </row>
    <row r="16572" spans="1:2" x14ac:dyDescent="0.3">
      <c r="A16572" s="9" t="str">
        <f>HYPERLINK("http://www.eatonpowersource.com/products/details/990347-022","990347-022")</f>
        <v>990347-022</v>
      </c>
      <c r="B16572" s="10" t="s">
        <v>15483</v>
      </c>
    </row>
    <row r="16573" spans="1:2" x14ac:dyDescent="0.3">
      <c r="A16573" s="7" t="str">
        <f>HYPERLINK("http://www.eatonpowersource.com/products/details/990348-022","990348-022")</f>
        <v>990348-022</v>
      </c>
      <c r="B16573" s="8" t="s">
        <v>15484</v>
      </c>
    </row>
    <row r="16574" spans="1:2" x14ac:dyDescent="0.3">
      <c r="A16574" s="9" t="str">
        <f>HYPERLINK("http://www.eatonpowersource.com/products/details/990348-034","990348-034")</f>
        <v>990348-034</v>
      </c>
      <c r="B16574" s="10" t="s">
        <v>15485</v>
      </c>
    </row>
    <row r="16575" spans="1:2" x14ac:dyDescent="0.3">
      <c r="A16575" s="7" t="str">
        <f>HYPERLINK("http://www.eatonpowersource.com/products/details/990349-022","990349-022")</f>
        <v>990349-022</v>
      </c>
      <c r="B16575" s="8" t="s">
        <v>15486</v>
      </c>
    </row>
    <row r="16576" spans="1:2" x14ac:dyDescent="0.3">
      <c r="A16576" s="9" t="str">
        <f>HYPERLINK("http://www.eatonpowersource.com/products/details/990349-034","990349-034")</f>
        <v>990349-034</v>
      </c>
      <c r="B16576" s="10" t="s">
        <v>15487</v>
      </c>
    </row>
    <row r="16577" spans="1:2" x14ac:dyDescent="0.3">
      <c r="A16577" s="7" t="str">
        <f>HYPERLINK("http://www.eatonpowersource.com/products/details/990350-022","990350-022")</f>
        <v>990350-022</v>
      </c>
      <c r="B16577" s="8" t="s">
        <v>15488</v>
      </c>
    </row>
    <row r="16578" spans="1:2" x14ac:dyDescent="0.3">
      <c r="A16578" s="9" t="str">
        <f>HYPERLINK("http://www.eatonpowersource.com/products/details/990350-034","990350-034")</f>
        <v>990350-034</v>
      </c>
      <c r="B16578" s="10" t="s">
        <v>15489</v>
      </c>
    </row>
    <row r="16579" spans="1:2" x14ac:dyDescent="0.3">
      <c r="A16579" s="7" t="str">
        <f>HYPERLINK("http://www.eatonpowersource.com/products/details/990352-022","990352-022")</f>
        <v>990352-022</v>
      </c>
      <c r="B16579" s="8" t="s">
        <v>15490</v>
      </c>
    </row>
    <row r="16580" spans="1:2" x14ac:dyDescent="0.3">
      <c r="A16580" s="9" t="str">
        <f>HYPERLINK("http://www.eatonpowersource.com/products/details/990353-022","990353-022")</f>
        <v>990353-022</v>
      </c>
      <c r="B16580" s="10" t="s">
        <v>15491</v>
      </c>
    </row>
    <row r="16581" spans="1:2" x14ac:dyDescent="0.3">
      <c r="A16581" s="7" t="str">
        <f>HYPERLINK("http://www.eatonpowersource.com/products/details/990354-022","990354-022")</f>
        <v>990354-022</v>
      </c>
      <c r="B16581" s="8" t="s">
        <v>15492</v>
      </c>
    </row>
    <row r="16582" spans="1:2" x14ac:dyDescent="0.3">
      <c r="A16582" s="9" t="str">
        <f>HYPERLINK("http://www.eatonpowersource.com/products/details/990354-028","990354-028")</f>
        <v>990354-028</v>
      </c>
      <c r="B16582" s="10" t="s">
        <v>15493</v>
      </c>
    </row>
    <row r="16583" spans="1:2" x14ac:dyDescent="0.3">
      <c r="A16583" s="7" t="str">
        <f>HYPERLINK("http://www.eatonpowersource.com/products/details/990356-022","990356-022")</f>
        <v>990356-022</v>
      </c>
      <c r="B16583" s="8" t="s">
        <v>15490</v>
      </c>
    </row>
    <row r="16584" spans="1:2" x14ac:dyDescent="0.3">
      <c r="A16584" s="9" t="str">
        <f>HYPERLINK("http://www.eatonpowersource.com/products/details/990357-034","990357-034")</f>
        <v>990357-034</v>
      </c>
      <c r="B16584" s="10" t="s">
        <v>15494</v>
      </c>
    </row>
    <row r="16585" spans="1:2" x14ac:dyDescent="0.3">
      <c r="A16585" s="7" t="str">
        <f>HYPERLINK("http://www.eatonpowersource.com/products/details/990364-000","990364-000")</f>
        <v>990364-000</v>
      </c>
      <c r="B16585" s="8" t="s">
        <v>15482</v>
      </c>
    </row>
    <row r="16586" spans="1:2" x14ac:dyDescent="0.3">
      <c r="A16586" s="9" t="str">
        <f>HYPERLINK("http://www.eatonpowersource.com/products/details/990374-000","990374-000")</f>
        <v>990374-000</v>
      </c>
      <c r="B16586" s="10" t="s">
        <v>15495</v>
      </c>
    </row>
    <row r="16587" spans="1:2" x14ac:dyDescent="0.3">
      <c r="A16587" s="7" t="str">
        <f>HYPERLINK("http://www.eatonpowersource.com/products/details/990380-000","990380-000")</f>
        <v>990380-000</v>
      </c>
      <c r="B16587" s="8" t="s">
        <v>15496</v>
      </c>
    </row>
    <row r="16588" spans="1:2" x14ac:dyDescent="0.3">
      <c r="A16588" s="9" t="str">
        <f>HYPERLINK("http://www.eatonpowersource.com/products/details/990381-000","990381-000")</f>
        <v>990381-000</v>
      </c>
      <c r="B16588" s="10" t="s">
        <v>15497</v>
      </c>
    </row>
    <row r="16589" spans="1:2" x14ac:dyDescent="0.3">
      <c r="A16589" s="7" t="str">
        <f>HYPERLINK("http://www.eatonpowersource.com/products/details/990386-000","990386-000")</f>
        <v>990386-000</v>
      </c>
      <c r="B16589" s="8" t="s">
        <v>15498</v>
      </c>
    </row>
    <row r="16590" spans="1:2" x14ac:dyDescent="0.3">
      <c r="A16590" s="9" t="str">
        <f>HYPERLINK("http://www.eatonpowersource.com/products/details/990387-000","990387-000")</f>
        <v>990387-000</v>
      </c>
      <c r="B16590" s="10" t="s">
        <v>15499</v>
      </c>
    </row>
    <row r="16591" spans="1:2" x14ac:dyDescent="0.3">
      <c r="A16591" s="7" t="str">
        <f>HYPERLINK("http://www.eatonpowersource.com/products/details/990389-000","990389-000")</f>
        <v>990389-000</v>
      </c>
      <c r="B16591" s="8" t="s">
        <v>15499</v>
      </c>
    </row>
    <row r="16592" spans="1:2" x14ac:dyDescent="0.3">
      <c r="A16592" s="9" t="str">
        <f>HYPERLINK("http://www.eatonpowersource.com/products/details/990395-000","990395-000")</f>
        <v>990395-000</v>
      </c>
      <c r="B16592" s="10" t="s">
        <v>15500</v>
      </c>
    </row>
    <row r="16593" spans="1:2" x14ac:dyDescent="0.3">
      <c r="A16593" s="7" t="str">
        <f>HYPERLINK("http://www.eatonpowersource.com/products/details/990404-000","990404-000")</f>
        <v>990404-000</v>
      </c>
      <c r="B16593" s="8" t="s">
        <v>15436</v>
      </c>
    </row>
    <row r="16594" spans="1:2" x14ac:dyDescent="0.3">
      <c r="A16594" s="9" t="str">
        <f>HYPERLINK("http://www.eatonpowersource.com/products/details/990416-000","990416-000")</f>
        <v>990416-000</v>
      </c>
      <c r="B16594" s="10" t="s">
        <v>15501</v>
      </c>
    </row>
    <row r="16595" spans="1:2" x14ac:dyDescent="0.3">
      <c r="A16595" s="7" t="str">
        <f>HYPERLINK("http://www.eatonpowersource.com/products/details/990417-000","990417-000")</f>
        <v>990417-000</v>
      </c>
      <c r="B16595" s="8" t="s">
        <v>15502</v>
      </c>
    </row>
    <row r="16596" spans="1:2" x14ac:dyDescent="0.3">
      <c r="A16596" s="9" t="str">
        <f>HYPERLINK("http://www.eatonpowersource.com/products/details/990427-000","990427-000")</f>
        <v>990427-000</v>
      </c>
      <c r="B16596" s="10" t="s">
        <v>15503</v>
      </c>
    </row>
    <row r="16597" spans="1:2" x14ac:dyDescent="0.3">
      <c r="A16597" s="7" t="str">
        <f>HYPERLINK("http://www.eatonpowersource.com/products/details/990429-000","990429-000")</f>
        <v>990429-000</v>
      </c>
      <c r="B16597" s="8" t="s">
        <v>15504</v>
      </c>
    </row>
    <row r="16598" spans="1:2" x14ac:dyDescent="0.3">
      <c r="A16598" s="9" t="str">
        <f>HYPERLINK("http://www.eatonpowersource.com/products/details/990430-000","990430-000")</f>
        <v>990430-000</v>
      </c>
      <c r="B16598" s="10" t="s">
        <v>15505</v>
      </c>
    </row>
    <row r="16599" spans="1:2" x14ac:dyDescent="0.3">
      <c r="A16599" s="7" t="str">
        <f>HYPERLINK("http://www.eatonpowersource.com/products/details/990432-000","990432-000")</f>
        <v>990432-000</v>
      </c>
      <c r="B16599" s="8" t="s">
        <v>15506</v>
      </c>
    </row>
    <row r="16600" spans="1:2" x14ac:dyDescent="0.3">
      <c r="A16600" s="9" t="str">
        <f>HYPERLINK("http://www.eatonpowersource.com/products/details/990434-022","990434-022")</f>
        <v>990434-022</v>
      </c>
      <c r="B16600" s="10" t="s">
        <v>15507</v>
      </c>
    </row>
    <row r="16601" spans="1:2" x14ac:dyDescent="0.3">
      <c r="A16601" s="7" t="str">
        <f>HYPERLINK("http://www.eatonpowersource.com/products/details/990435-022","990435-022")</f>
        <v>990435-022</v>
      </c>
      <c r="B16601" s="8" t="s">
        <v>15507</v>
      </c>
    </row>
    <row r="16602" spans="1:2" x14ac:dyDescent="0.3">
      <c r="A16602" s="9" t="str">
        <f>HYPERLINK("http://www.eatonpowersource.com/products/details/990441-034","990441-034")</f>
        <v>990441-034</v>
      </c>
      <c r="B16602" s="10" t="s">
        <v>15508</v>
      </c>
    </row>
    <row r="16603" spans="1:2" x14ac:dyDescent="0.3">
      <c r="A16603" s="7" t="str">
        <f>HYPERLINK("http://www.eatonpowersource.com/products/details/990446-022","990446-022")</f>
        <v>990446-022</v>
      </c>
      <c r="B16603" s="8" t="s">
        <v>15509</v>
      </c>
    </row>
    <row r="16604" spans="1:2" x14ac:dyDescent="0.3">
      <c r="A16604" s="9" t="str">
        <f>HYPERLINK("http://www.eatonpowersource.com/products/details/990447-034","990447-034")</f>
        <v>990447-034</v>
      </c>
      <c r="B16604" s="10" t="s">
        <v>15510</v>
      </c>
    </row>
    <row r="16605" spans="1:2" x14ac:dyDescent="0.3">
      <c r="A16605" s="7" t="str">
        <f>HYPERLINK("http://www.eatonpowersource.com/products/details/990449-028","990449-028")</f>
        <v>990449-028</v>
      </c>
      <c r="B16605" s="8" t="s">
        <v>15511</v>
      </c>
    </row>
    <row r="16606" spans="1:2" x14ac:dyDescent="0.3">
      <c r="A16606" s="9" t="str">
        <f>HYPERLINK("http://www.eatonpowersource.com/products/details/990458-000","990458-000")</f>
        <v>990458-000</v>
      </c>
      <c r="B16606" s="10" t="s">
        <v>15512</v>
      </c>
    </row>
    <row r="16607" spans="1:2" x14ac:dyDescent="0.3">
      <c r="A16607" s="7" t="str">
        <f>HYPERLINK("http://www.eatonpowersource.com/products/details/990529-500","990529-500")</f>
        <v>990529-500</v>
      </c>
      <c r="B16607" s="8" t="s">
        <v>15513</v>
      </c>
    </row>
    <row r="16608" spans="1:2" x14ac:dyDescent="0.3">
      <c r="A16608" s="9" t="str">
        <f>HYPERLINK("http://www.eatonpowersource.com/products/details/990529-600","990529-600")</f>
        <v>990529-600</v>
      </c>
      <c r="B16608" s="10" t="s">
        <v>15513</v>
      </c>
    </row>
    <row r="16609" spans="1:2" x14ac:dyDescent="0.3">
      <c r="A16609" s="7" t="str">
        <f>HYPERLINK("http://www.eatonpowersource.com/products/details/990546-000","990546-000")</f>
        <v>990546-000</v>
      </c>
      <c r="B16609" s="8" t="s">
        <v>15514</v>
      </c>
    </row>
    <row r="16610" spans="1:2" x14ac:dyDescent="0.3">
      <c r="A16610" s="9" t="str">
        <f>HYPERLINK("http://www.eatonpowersource.com/products/details/990547-000","990547-000")</f>
        <v>990547-000</v>
      </c>
      <c r="B16610" s="10" t="s">
        <v>15514</v>
      </c>
    </row>
    <row r="16611" spans="1:2" x14ac:dyDescent="0.3">
      <c r="A16611" s="7" t="str">
        <f>HYPERLINK("http://www.eatonpowersource.com/products/details/990548-000","990548-000")</f>
        <v>990548-000</v>
      </c>
      <c r="B16611" s="8" t="s">
        <v>15514</v>
      </c>
    </row>
    <row r="16612" spans="1:2" x14ac:dyDescent="0.3">
      <c r="A16612" s="9" t="str">
        <f>HYPERLINK("http://www.eatonpowersource.com/products/details/990585-000","990585-000")</f>
        <v>990585-000</v>
      </c>
      <c r="B16612" s="10" t="s">
        <v>15515</v>
      </c>
    </row>
    <row r="16613" spans="1:2" x14ac:dyDescent="0.3">
      <c r="A16613" s="7" t="str">
        <f>HYPERLINK("http://www.eatonpowersource.com/products/details/990596-000","990596-000")</f>
        <v>990596-000</v>
      </c>
      <c r="B16613" s="8" t="s">
        <v>15516</v>
      </c>
    </row>
    <row r="16614" spans="1:2" x14ac:dyDescent="0.3">
      <c r="A16614" s="9" t="str">
        <f>HYPERLINK("http://www.eatonpowersource.com/products/details/990598-034","990598-034")</f>
        <v>990598-034</v>
      </c>
      <c r="B16614" s="10" t="s">
        <v>15358</v>
      </c>
    </row>
    <row r="16615" spans="1:2" x14ac:dyDescent="0.3">
      <c r="A16615" s="7" t="str">
        <f>HYPERLINK("http://www.eatonpowersource.com/products/details/990599-000","990599-000")</f>
        <v>990599-000</v>
      </c>
      <c r="B16615" s="8" t="s">
        <v>15517</v>
      </c>
    </row>
    <row r="16616" spans="1:2" x14ac:dyDescent="0.3">
      <c r="A16616" s="9" t="str">
        <f>HYPERLINK("http://www.eatonpowersource.com/products/details/990646-034","990646-034")</f>
        <v>990646-034</v>
      </c>
      <c r="B16616" s="10" t="s">
        <v>15518</v>
      </c>
    </row>
    <row r="16617" spans="1:2" x14ac:dyDescent="0.3">
      <c r="A16617" s="7" t="str">
        <f>HYPERLINK("http://www.eatonpowersource.com/products/details/990650-000","990650-000")</f>
        <v>990650-000</v>
      </c>
      <c r="B16617" s="8" t="s">
        <v>15519</v>
      </c>
    </row>
    <row r="16618" spans="1:2" x14ac:dyDescent="0.3">
      <c r="A16618" s="9" t="str">
        <f>HYPERLINK("http://www.eatonpowersource.com/products/details/990661-000","990661-000")</f>
        <v>990661-000</v>
      </c>
      <c r="B16618" s="10" t="s">
        <v>15520</v>
      </c>
    </row>
    <row r="16619" spans="1:2" x14ac:dyDescent="0.3">
      <c r="A16619" s="7" t="str">
        <f>HYPERLINK("http://www.eatonpowersource.com/products/details/990665-000","990665-000")</f>
        <v>990665-000</v>
      </c>
      <c r="B16619" s="8" t="s">
        <v>15521</v>
      </c>
    </row>
    <row r="16620" spans="1:2" x14ac:dyDescent="0.3">
      <c r="A16620" s="9" t="str">
        <f>HYPERLINK("http://www.eatonpowersource.com/products/details/990666-000","990666-000")</f>
        <v>990666-000</v>
      </c>
      <c r="B16620" s="10" t="s">
        <v>15521</v>
      </c>
    </row>
    <row r="16621" spans="1:2" x14ac:dyDescent="0.3">
      <c r="A16621" s="7" t="str">
        <f>HYPERLINK("http://www.eatonpowersource.com/products/details/990667-000","990667-000")</f>
        <v>990667-000</v>
      </c>
      <c r="B16621" s="8" t="s">
        <v>15521</v>
      </c>
    </row>
    <row r="16622" spans="1:2" x14ac:dyDescent="0.3">
      <c r="A16622" s="9" t="str">
        <f>HYPERLINK("http://www.eatonpowersource.com/products/details/990672-000","990672-000")</f>
        <v>990672-000</v>
      </c>
      <c r="B16622" s="10" t="s">
        <v>15521</v>
      </c>
    </row>
    <row r="16623" spans="1:2" x14ac:dyDescent="0.3">
      <c r="A16623" s="7" t="str">
        <f>HYPERLINK("http://www.eatonpowersource.com/products/details/990673-000","990673-000")</f>
        <v>990673-000</v>
      </c>
      <c r="B16623" s="8" t="s">
        <v>15521</v>
      </c>
    </row>
    <row r="16624" spans="1:2" x14ac:dyDescent="0.3">
      <c r="A16624" s="9" t="str">
        <f>HYPERLINK("http://www.eatonpowersource.com/products/details/990675-000","990675-000")</f>
        <v>990675-000</v>
      </c>
      <c r="B16624" s="10" t="s">
        <v>15521</v>
      </c>
    </row>
    <row r="16625" spans="1:2" x14ac:dyDescent="0.3">
      <c r="A16625" s="7" t="str">
        <f>HYPERLINK("http://www.eatonpowersource.com/products/details/990683-000","990683-000")</f>
        <v>990683-000</v>
      </c>
      <c r="B16625" s="8" t="s">
        <v>15521</v>
      </c>
    </row>
    <row r="16626" spans="1:2" x14ac:dyDescent="0.3">
      <c r="A16626" s="9" t="str">
        <f>HYPERLINK("http://www.eatonpowersource.com/products/details/990685-000","990685-000")</f>
        <v>990685-000</v>
      </c>
      <c r="B16626" s="10" t="s">
        <v>15521</v>
      </c>
    </row>
    <row r="16627" spans="1:2" x14ac:dyDescent="0.3">
      <c r="A16627" s="7" t="str">
        <f>HYPERLINK("http://www.eatonpowersource.com/products/details/990687-000","990687-000")</f>
        <v>990687-000</v>
      </c>
      <c r="B16627" s="8" t="s">
        <v>15521</v>
      </c>
    </row>
    <row r="16628" spans="1:2" x14ac:dyDescent="0.3">
      <c r="A16628" s="9" t="str">
        <f>HYPERLINK("http://www.eatonpowersource.com/products/details/990704-000","990704-000")</f>
        <v>990704-000</v>
      </c>
      <c r="B16628" s="10" t="s">
        <v>15522</v>
      </c>
    </row>
    <row r="16629" spans="1:2" x14ac:dyDescent="0.3">
      <c r="A16629" s="7" t="str">
        <f>HYPERLINK("http://www.eatonpowersource.com/products/details/990705-000","990705-000")</f>
        <v>990705-000</v>
      </c>
      <c r="B16629" s="8" t="s">
        <v>15523</v>
      </c>
    </row>
    <row r="16630" spans="1:2" x14ac:dyDescent="0.3">
      <c r="A16630" s="9" t="str">
        <f>HYPERLINK("http://www.eatonpowersource.com/products/details/990708-000","990708-000")</f>
        <v>990708-000</v>
      </c>
      <c r="B16630" s="10" t="s">
        <v>15524</v>
      </c>
    </row>
    <row r="16631" spans="1:2" x14ac:dyDescent="0.3">
      <c r="A16631" s="7" t="str">
        <f>HYPERLINK("http://www.eatonpowersource.com/products/details/990709-000","990709-000")</f>
        <v>990709-000</v>
      </c>
      <c r="B16631" s="8" t="s">
        <v>15525</v>
      </c>
    </row>
    <row r="16632" spans="1:2" x14ac:dyDescent="0.3">
      <c r="A16632" s="9" t="str">
        <f>HYPERLINK("http://www.eatonpowersource.com/products/details/990710-000","990710-000")</f>
        <v>990710-000</v>
      </c>
      <c r="B16632" s="10" t="s">
        <v>15526</v>
      </c>
    </row>
    <row r="16633" spans="1:2" x14ac:dyDescent="0.3">
      <c r="A16633" s="7" t="str">
        <f>HYPERLINK("http://www.eatonpowersource.com/products/details/990723-000","990723-000")</f>
        <v>990723-000</v>
      </c>
      <c r="B16633" s="8" t="s">
        <v>15527</v>
      </c>
    </row>
    <row r="16634" spans="1:2" x14ac:dyDescent="0.3">
      <c r="A16634" s="9" t="str">
        <f>HYPERLINK("http://www.eatonpowersource.com/products/details/990724-000","990724-000")</f>
        <v>990724-000</v>
      </c>
      <c r="B16634" s="10" t="s">
        <v>15528</v>
      </c>
    </row>
    <row r="16635" spans="1:2" x14ac:dyDescent="0.3">
      <c r="A16635" s="7" t="str">
        <f>HYPERLINK("http://www.eatonpowersource.com/products/details/990742-000","990742-000")</f>
        <v>990742-000</v>
      </c>
      <c r="B16635" s="8" t="s">
        <v>15529</v>
      </c>
    </row>
    <row r="16636" spans="1:2" x14ac:dyDescent="0.3">
      <c r="A16636" s="9" t="str">
        <f>HYPERLINK("http://www.eatonpowersource.com/products/details/990743-000","990743-000")</f>
        <v>990743-000</v>
      </c>
      <c r="B16636" s="10" t="s">
        <v>15530</v>
      </c>
    </row>
    <row r="16637" spans="1:2" x14ac:dyDescent="0.3">
      <c r="A16637" s="7" t="str">
        <f>HYPERLINK("http://www.eatonpowersource.com/products/details/990745-000","990745-000")</f>
        <v>990745-000</v>
      </c>
      <c r="B16637" s="8" t="s">
        <v>15531</v>
      </c>
    </row>
    <row r="16638" spans="1:2" x14ac:dyDescent="0.3">
      <c r="A16638" s="9" t="str">
        <f>HYPERLINK("http://www.eatonpowersource.com/products/details/990753-000","990753-000")</f>
        <v>990753-000</v>
      </c>
      <c r="B16638" s="10" t="s">
        <v>15532</v>
      </c>
    </row>
    <row r="16639" spans="1:2" x14ac:dyDescent="0.3">
      <c r="A16639" s="7" t="str">
        <f>HYPERLINK("http://www.eatonpowersource.com/products/details/990757-000","990757-000")</f>
        <v>990757-000</v>
      </c>
      <c r="B16639" s="8" t="s">
        <v>15533</v>
      </c>
    </row>
    <row r="16640" spans="1:2" x14ac:dyDescent="0.3">
      <c r="A16640" s="9" t="str">
        <f>HYPERLINK("http://www.eatonpowersource.com/products/details/990762-000","990762-000")</f>
        <v>990762-000</v>
      </c>
      <c r="B16640" s="10" t="s">
        <v>15534</v>
      </c>
    </row>
    <row r="16641" spans="1:2" x14ac:dyDescent="0.3">
      <c r="A16641" s="7" t="str">
        <f>HYPERLINK("http://www.eatonpowersource.com/products/details/990815-000","990815-000")</f>
        <v>990815-000</v>
      </c>
      <c r="B16641" s="8" t="s">
        <v>15535</v>
      </c>
    </row>
    <row r="16642" spans="1:2" x14ac:dyDescent="0.3">
      <c r="A16642" s="9" t="str">
        <f>HYPERLINK("http://www.eatonpowersource.com/products/details/990820-000","990820-000")</f>
        <v>990820-000</v>
      </c>
      <c r="B16642" s="10" t="s">
        <v>15536</v>
      </c>
    </row>
    <row r="16643" spans="1:2" x14ac:dyDescent="0.3">
      <c r="A16643" s="7" t="str">
        <f>HYPERLINK("http://www.eatonpowersource.com/products/details/990822-000","990822-000")</f>
        <v>990822-000</v>
      </c>
      <c r="B16643" s="8" t="s">
        <v>15537</v>
      </c>
    </row>
    <row r="16644" spans="1:2" x14ac:dyDescent="0.3">
      <c r="A16644" s="9" t="str">
        <f>HYPERLINK("http://www.eatonpowersource.com/products/details/990828-000","990828-000")</f>
        <v>990828-000</v>
      </c>
      <c r="B16644" s="10" t="s">
        <v>15538</v>
      </c>
    </row>
    <row r="16645" spans="1:2" x14ac:dyDescent="0.3">
      <c r="A16645" s="7" t="str">
        <f>HYPERLINK("http://www.eatonpowersource.com/products/details/990829-000","990829-000")</f>
        <v>990829-000</v>
      </c>
      <c r="B16645" s="8" t="s">
        <v>15539</v>
      </c>
    </row>
    <row r="16646" spans="1:2" x14ac:dyDescent="0.3">
      <c r="A16646" s="9" t="str">
        <f>HYPERLINK("http://www.eatonpowersource.com/products/details/990843-022","990843-022")</f>
        <v>990843-022</v>
      </c>
      <c r="B16646" s="10" t="s">
        <v>15540</v>
      </c>
    </row>
    <row r="16647" spans="1:2" x14ac:dyDescent="0.3">
      <c r="A16647" s="7" t="str">
        <f>HYPERLINK("http://www.eatonpowersource.com/products/details/990846-022","990846-022")</f>
        <v>990846-022</v>
      </c>
      <c r="B16647" s="8" t="s">
        <v>15541</v>
      </c>
    </row>
    <row r="16648" spans="1:2" x14ac:dyDescent="0.3">
      <c r="A16648" s="9" t="str">
        <f>HYPERLINK("http://www.eatonpowersource.com/products/details/990847-022","990847-022")</f>
        <v>990847-022</v>
      </c>
      <c r="B16648" s="10" t="s">
        <v>15541</v>
      </c>
    </row>
    <row r="16649" spans="1:2" x14ac:dyDescent="0.3">
      <c r="A16649" s="7" t="str">
        <f>HYPERLINK("http://www.eatonpowersource.com/products/details/z331-02","Z331-02")</f>
        <v>Z331-02</v>
      </c>
      <c r="B16649" s="8" t="s">
        <v>15542</v>
      </c>
    </row>
    <row r="16650" spans="1:2" x14ac:dyDescent="0.3">
      <c r="A16650" s="9" t="str">
        <f>HYPERLINK("http://www.eatonpowersource.com/products/details/z331-03","Z331-03")</f>
        <v>Z331-03</v>
      </c>
      <c r="B16650" s="10" t="s">
        <v>2797</v>
      </c>
    </row>
    <row r="16651" spans="1:2" x14ac:dyDescent="0.3">
      <c r="A16651" s="7" t="str">
        <f>HYPERLINK("http://www.eatonpowersource.com/products/details/z331-05","Z331-05")</f>
        <v>Z331-05</v>
      </c>
      <c r="B16651" s="8" t="s">
        <v>9798</v>
      </c>
    </row>
    <row r="16652" spans="1:2" x14ac:dyDescent="0.3">
      <c r="A16652" s="9" t="str">
        <f>HYPERLINK("http://www.eatonpowersource.com/products/details/z331-07","Z331-07")</f>
        <v>Z331-07</v>
      </c>
      <c r="B16652" s="10" t="s">
        <v>15543</v>
      </c>
    </row>
    <row r="16653" spans="1:2" x14ac:dyDescent="0.3">
      <c r="A16653" s="7" t="str">
        <f>HYPERLINK("http://www.eatonpowersource.com/products/details/z331-16","Z331-16")</f>
        <v>Z331-16</v>
      </c>
      <c r="B16653" s="8" t="s">
        <v>15544</v>
      </c>
    </row>
    <row r="16654" spans="1:2" x14ac:dyDescent="0.3">
      <c r="A16654" s="9" t="str">
        <f>HYPERLINK("http://www.eatonpowersource.com/products/details/z331-23","Z331-23")</f>
        <v>Z331-23</v>
      </c>
      <c r="B16654" s="10" t="s">
        <v>15545</v>
      </c>
    </row>
    <row r="16655" spans="1:2" x14ac:dyDescent="0.3">
      <c r="A16655" s="7" t="str">
        <f>HYPERLINK("http://www.eatonpowersource.com/products/details/z331-25","Z331-25")</f>
        <v>Z331-25</v>
      </c>
      <c r="B16655" s="8" t="s">
        <v>15546</v>
      </c>
    </row>
    <row r="16656" spans="1:2" x14ac:dyDescent="0.3">
      <c r="A16656" s="9" t="str">
        <f>HYPERLINK("http://www.eatonpowersource.com/products/details/z331-41","Z331-41")</f>
        <v>Z331-41</v>
      </c>
      <c r="B16656" s="10" t="s">
        <v>15547</v>
      </c>
    </row>
    <row r="16657" spans="1:2" x14ac:dyDescent="0.3">
      <c r="A16657" s="7" t="str">
        <f>HYPERLINK("http://www.eatonpowersource.com/products/details/z331-47","Z331-47")</f>
        <v>Z331-47</v>
      </c>
      <c r="B16657" s="8" t="s">
        <v>15548</v>
      </c>
    </row>
    <row r="16658" spans="1:2" x14ac:dyDescent="0.3">
      <c r="A16658" s="9" t="str">
        <f>HYPERLINK("http://www.eatonpowersource.com/products/details/z331-51","Z331-51")</f>
        <v>Z331-51</v>
      </c>
      <c r="B16658" s="10" t="s">
        <v>15549</v>
      </c>
    </row>
    <row r="16659" spans="1:2" x14ac:dyDescent="0.3">
      <c r="A16659" s="7" t="str">
        <f>HYPERLINK("http://www.eatonpowersource.com/products/details/z331-59","Z331-59")</f>
        <v>Z331-59</v>
      </c>
      <c r="B16659" s="8" t="s">
        <v>15550</v>
      </c>
    </row>
    <row r="16660" spans="1:2" x14ac:dyDescent="0.3">
      <c r="A16660" s="9" t="str">
        <f>HYPERLINK("http://www.eatonpowersource.com/products/configure/motors/details/129-0001-002","129-0001-002")</f>
        <v>129-0001-002</v>
      </c>
      <c r="B16660" s="10" t="s">
        <v>15551</v>
      </c>
    </row>
    <row r="16661" spans="1:2" x14ac:dyDescent="0.3">
      <c r="A16661" s="7" t="str">
        <f>HYPERLINK("http://www.eatonpowersource.com/products/configure/motors/details/129-0002-002","129-0002-002")</f>
        <v>129-0002-002</v>
      </c>
      <c r="B16661" s="8" t="s">
        <v>15552</v>
      </c>
    </row>
    <row r="16662" spans="1:2" x14ac:dyDescent="0.3">
      <c r="A16662" s="9" t="str">
        <f>HYPERLINK("http://www.eatonpowersource.com/products/configure/motors/details/129-0003-002","129-0003-002")</f>
        <v>129-0003-002</v>
      </c>
      <c r="B16662" s="10" t="s">
        <v>15553</v>
      </c>
    </row>
    <row r="16663" spans="1:2" x14ac:dyDescent="0.3">
      <c r="A16663" s="7" t="str">
        <f>HYPERLINK("http://www.eatonpowersource.com/products/configure/motors/details/129-0004-002","129-0004-002")</f>
        <v>129-0004-002</v>
      </c>
      <c r="B16663" s="8" t="s">
        <v>15554</v>
      </c>
    </row>
    <row r="16664" spans="1:2" x14ac:dyDescent="0.3">
      <c r="A16664" s="9" t="str">
        <f>HYPERLINK("http://www.eatonpowersource.com/products/configure/motors/details/129-0005-002","129-0005-002")</f>
        <v>129-0005-002</v>
      </c>
      <c r="B16664" s="10" t="s">
        <v>15555</v>
      </c>
    </row>
    <row r="16665" spans="1:2" x14ac:dyDescent="0.3">
      <c r="A16665" s="7" t="str">
        <f>HYPERLINK("http://www.eatonpowersource.com/products/configure/motors/details/129-0006-002","129-0006-002")</f>
        <v>129-0006-002</v>
      </c>
      <c r="B16665" s="8" t="s">
        <v>15556</v>
      </c>
    </row>
    <row r="16666" spans="1:2" x14ac:dyDescent="0.3">
      <c r="A16666" s="9" t="str">
        <f>HYPERLINK("http://www.eatonpowersource.com/products/configure/motors/details/129-0007-002","129-0007-002")</f>
        <v>129-0007-002</v>
      </c>
      <c r="B16666" s="10" t="s">
        <v>15557</v>
      </c>
    </row>
    <row r="16667" spans="1:2" x14ac:dyDescent="0.3">
      <c r="A16667" s="7" t="str">
        <f>HYPERLINK("http://www.eatonpowersource.com/products/configure/motors/details/129-0008-002","129-0008-002")</f>
        <v>129-0008-002</v>
      </c>
      <c r="B16667" s="8" t="s">
        <v>15558</v>
      </c>
    </row>
    <row r="16668" spans="1:2" x14ac:dyDescent="0.3">
      <c r="A16668" s="9" t="str">
        <f>HYPERLINK("http://www.eatonpowersource.com/products/configure/motors/details/129-0009-002","129-0009-002")</f>
        <v>129-0009-002</v>
      </c>
      <c r="B16668" s="10" t="s">
        <v>15559</v>
      </c>
    </row>
    <row r="16669" spans="1:2" x14ac:dyDescent="0.3">
      <c r="A16669" s="7" t="str">
        <f>HYPERLINK("http://www.eatonpowersource.com/products/configure/motors/details/129-0015-002","129-0015-002")</f>
        <v>129-0015-002</v>
      </c>
      <c r="B16669" s="8" t="s">
        <v>15560</v>
      </c>
    </row>
    <row r="16670" spans="1:2" x14ac:dyDescent="0.3">
      <c r="A16670" s="9" t="str">
        <f>HYPERLINK("http://www.eatonpowersource.com/products/configure/motors/details/129-0016-002","129-0016-002")</f>
        <v>129-0016-002</v>
      </c>
      <c r="B16670" s="10" t="s">
        <v>15561</v>
      </c>
    </row>
    <row r="16671" spans="1:2" x14ac:dyDescent="0.3">
      <c r="A16671" s="7" t="str">
        <f>HYPERLINK("http://www.eatonpowersource.com/products/configure/motors/details/129-0017-002","129-0017-002")</f>
        <v>129-0017-002</v>
      </c>
      <c r="B16671" s="8" t="s">
        <v>15562</v>
      </c>
    </row>
    <row r="16672" spans="1:2" x14ac:dyDescent="0.3">
      <c r="A16672" s="9" t="str">
        <f>HYPERLINK("http://www.eatonpowersource.com/products/configure/motors/details/129-0018-002","129-0018-002")</f>
        <v>129-0018-002</v>
      </c>
      <c r="B16672" s="10" t="s">
        <v>15563</v>
      </c>
    </row>
    <row r="16673" spans="1:2" x14ac:dyDescent="0.3">
      <c r="A16673" s="7" t="str">
        <f>HYPERLINK("http://www.eatonpowersource.com/products/configure/motors/details/129-0019-002","129-0019-002")</f>
        <v>129-0019-002</v>
      </c>
      <c r="B16673" s="8" t="s">
        <v>15564</v>
      </c>
    </row>
    <row r="16674" spans="1:2" x14ac:dyDescent="0.3">
      <c r="A16674" s="9" t="str">
        <f>HYPERLINK("http://www.eatonpowersource.com/products/configure/motors/details/129-0020-002","129-0020-002")</f>
        <v>129-0020-002</v>
      </c>
      <c r="B16674" s="10" t="s">
        <v>15565</v>
      </c>
    </row>
    <row r="16675" spans="1:2" x14ac:dyDescent="0.3">
      <c r="A16675" s="7" t="str">
        <f>HYPERLINK("http://www.eatonpowersource.com/products/configure/motors/details/129-0021-002","129-0021-002")</f>
        <v>129-0021-002</v>
      </c>
      <c r="B16675" s="8" t="s">
        <v>15566</v>
      </c>
    </row>
    <row r="16676" spans="1:2" x14ac:dyDescent="0.3">
      <c r="A16676" s="9" t="str">
        <f>HYPERLINK("http://www.eatonpowersource.com/products/configure/motors/details/129-0022-002","129-0022-002")</f>
        <v>129-0022-002</v>
      </c>
      <c r="B16676" s="10" t="s">
        <v>15567</v>
      </c>
    </row>
    <row r="16677" spans="1:2" x14ac:dyDescent="0.3">
      <c r="A16677" s="7" t="str">
        <f>HYPERLINK("http://www.eatonpowersource.com/products/configure/motors/details/129-0023-002","129-0023-002")</f>
        <v>129-0023-002</v>
      </c>
      <c r="B16677" s="8" t="s">
        <v>15568</v>
      </c>
    </row>
    <row r="16678" spans="1:2" x14ac:dyDescent="0.3">
      <c r="A16678" s="9" t="str">
        <f>HYPERLINK("http://www.eatonpowersource.com/products/configure/motors/details/129-0024-002","129-0024-002")</f>
        <v>129-0024-002</v>
      </c>
      <c r="B16678" s="10" t="s">
        <v>15569</v>
      </c>
    </row>
    <row r="16679" spans="1:2" x14ac:dyDescent="0.3">
      <c r="A16679" s="7" t="str">
        <f>HYPERLINK("http://www.eatonpowersource.com/products/configure/motors/details/129-0030-002","129-0030-002")</f>
        <v>129-0030-002</v>
      </c>
      <c r="B16679" s="8" t="s">
        <v>15570</v>
      </c>
    </row>
    <row r="16680" spans="1:2" x14ac:dyDescent="0.3">
      <c r="A16680" s="9" t="str">
        <f>HYPERLINK("http://www.eatonpowersource.com/products/configure/motors/details/129-0041-002","129-0041-002")</f>
        <v>129-0041-002</v>
      </c>
      <c r="B16680" s="10" t="s">
        <v>15571</v>
      </c>
    </row>
    <row r="16681" spans="1:2" x14ac:dyDescent="0.3">
      <c r="A16681" s="7" t="str">
        <f>HYPERLINK("http://www.eatonpowersource.com/products/configure/motors/details/129-0042-002","129-0042-002")</f>
        <v>129-0042-002</v>
      </c>
      <c r="B16681" s="8" t="s">
        <v>15572</v>
      </c>
    </row>
    <row r="16682" spans="1:2" x14ac:dyDescent="0.3">
      <c r="A16682" s="9" t="str">
        <f>HYPERLINK("http://www.eatonpowersource.com/products/configure/motors/details/129-0043-002","129-0043-002")</f>
        <v>129-0043-002</v>
      </c>
      <c r="B16682" s="10" t="s">
        <v>15573</v>
      </c>
    </row>
    <row r="16683" spans="1:2" x14ac:dyDescent="0.3">
      <c r="A16683" s="7" t="str">
        <f>HYPERLINK("http://www.eatonpowersource.com/products/configure/motors/details/129-0046-002","129-0046-002")</f>
        <v>129-0046-002</v>
      </c>
      <c r="B16683" s="8" t="s">
        <v>15574</v>
      </c>
    </row>
    <row r="16684" spans="1:2" x14ac:dyDescent="0.3">
      <c r="A16684" s="9" t="str">
        <f>HYPERLINK("http://www.eatonpowersource.com/products/configure/motors/details/129-0049-002","129-0049-002")</f>
        <v>129-0049-002</v>
      </c>
      <c r="B16684" s="10" t="s">
        <v>15575</v>
      </c>
    </row>
    <row r="16685" spans="1:2" x14ac:dyDescent="0.3">
      <c r="A16685" s="7" t="str">
        <f>HYPERLINK("http://www.eatonpowersource.com/products/configure/motors/details/129-0050-002","129-0050-002")</f>
        <v>129-0050-002</v>
      </c>
      <c r="B16685" s="8" t="s">
        <v>15576</v>
      </c>
    </row>
    <row r="16686" spans="1:2" x14ac:dyDescent="0.3">
      <c r="A16686" s="9" t="str">
        <f>HYPERLINK("http://www.eatonpowersource.com/products/configure/motors/details/129-0051-002","129-0051-002")</f>
        <v>129-0051-002</v>
      </c>
      <c r="B16686" s="10" t="s">
        <v>15577</v>
      </c>
    </row>
    <row r="16687" spans="1:2" x14ac:dyDescent="0.3">
      <c r="A16687" s="7" t="str">
        <f>HYPERLINK("http://www.eatonpowersource.com/products/configure/motors/details/129-0052-002","129-0052-002")</f>
        <v>129-0052-002</v>
      </c>
      <c r="B16687" s="8" t="s">
        <v>15578</v>
      </c>
    </row>
    <row r="16688" spans="1:2" x14ac:dyDescent="0.3">
      <c r="A16688" s="9" t="str">
        <f>HYPERLINK("http://www.eatonpowersource.com/products/configure/motors/details/129-0053-002","129-0053-002")</f>
        <v>129-0053-002</v>
      </c>
      <c r="B16688" s="10" t="s">
        <v>15579</v>
      </c>
    </row>
    <row r="16689" spans="1:2" x14ac:dyDescent="0.3">
      <c r="A16689" s="7" t="str">
        <f>HYPERLINK("http://www.eatonpowersource.com/products/configure/motors/details/129-0054-002","129-0054-002")</f>
        <v>129-0054-002</v>
      </c>
      <c r="B16689" s="8" t="s">
        <v>15580</v>
      </c>
    </row>
    <row r="16690" spans="1:2" x14ac:dyDescent="0.3">
      <c r="A16690" s="9" t="str">
        <f>HYPERLINK("http://www.eatonpowersource.com/products/configure/motors/details/129-0055-002","129-0055-002")</f>
        <v>129-0055-002</v>
      </c>
      <c r="B16690" s="10" t="s">
        <v>15581</v>
      </c>
    </row>
    <row r="16691" spans="1:2" x14ac:dyDescent="0.3">
      <c r="A16691" s="7" t="str">
        <f>HYPERLINK("http://www.eatonpowersource.com/products/configure/motors/details/129-0056-002","129-0056-002")</f>
        <v>129-0056-002</v>
      </c>
      <c r="B16691" s="8" t="s">
        <v>15582</v>
      </c>
    </row>
    <row r="16692" spans="1:2" x14ac:dyDescent="0.3">
      <c r="A16692" s="9" t="str">
        <f>HYPERLINK("http://www.eatonpowersource.com/products/configure/motors/details/129-0080-002","129-0080-002")</f>
        <v>129-0080-002</v>
      </c>
      <c r="B16692" s="10" t="s">
        <v>15583</v>
      </c>
    </row>
    <row r="16693" spans="1:2" x14ac:dyDescent="0.3">
      <c r="A16693" s="7" t="str">
        <f>HYPERLINK("http://www.eatonpowersource.com/products/configure/motors/details/129-0084-002","129-0084-002")</f>
        <v>129-0084-002</v>
      </c>
      <c r="B16693" s="8" t="s">
        <v>15584</v>
      </c>
    </row>
    <row r="16694" spans="1:2" x14ac:dyDescent="0.3">
      <c r="A16694" s="9" t="str">
        <f>HYPERLINK("http://www.eatonpowersource.com/products/configure/motors/details/129-0093-002","129-0093-002")</f>
        <v>129-0093-002</v>
      </c>
      <c r="B16694" s="10" t="s">
        <v>15585</v>
      </c>
    </row>
    <row r="16695" spans="1:2" x14ac:dyDescent="0.3">
      <c r="A16695" s="7" t="str">
        <f>HYPERLINK("http://www.eatonpowersource.com/products/configure/motors/details/129-0096-002","129-0096-002")</f>
        <v>129-0096-002</v>
      </c>
      <c r="B16695" s="8" t="s">
        <v>15586</v>
      </c>
    </row>
    <row r="16696" spans="1:2" x14ac:dyDescent="0.3">
      <c r="A16696" s="9" t="str">
        <f>HYPERLINK("http://www.eatonpowersource.com/products/configure/motors/details/129-0101-002","129-0101-002")</f>
        <v>129-0101-002</v>
      </c>
      <c r="B16696" s="10" t="s">
        <v>15587</v>
      </c>
    </row>
    <row r="16697" spans="1:2" x14ac:dyDescent="0.3">
      <c r="A16697" s="7" t="str">
        <f>HYPERLINK("http://www.eatonpowersource.com/products/configure/motors/details/129-0102-002","129-0102-002")</f>
        <v>129-0102-002</v>
      </c>
      <c r="B16697" s="8" t="s">
        <v>15588</v>
      </c>
    </row>
    <row r="16698" spans="1:2" x14ac:dyDescent="0.3">
      <c r="A16698" s="9" t="str">
        <f>HYPERLINK("http://www.eatonpowersource.com/products/configure/motors/details/129-0103-002","129-0103-002")</f>
        <v>129-0103-002</v>
      </c>
      <c r="B16698" s="10" t="s">
        <v>15589</v>
      </c>
    </row>
    <row r="16699" spans="1:2" x14ac:dyDescent="0.3">
      <c r="A16699" s="7" t="str">
        <f>HYPERLINK("http://www.eatonpowersource.com/products/configure/motors/details/129-0104-002","129-0104-002")</f>
        <v>129-0104-002</v>
      </c>
      <c r="B16699" s="8" t="s">
        <v>15590</v>
      </c>
    </row>
    <row r="16700" spans="1:2" x14ac:dyDescent="0.3">
      <c r="A16700" s="9" t="str">
        <f>HYPERLINK("http://www.eatonpowersource.com/products/configure/motors/details/129-0105-002","129-0105-002")</f>
        <v>129-0105-002</v>
      </c>
      <c r="B16700" s="10" t="s">
        <v>15591</v>
      </c>
    </row>
    <row r="16701" spans="1:2" x14ac:dyDescent="0.3">
      <c r="A16701" s="7" t="str">
        <f>HYPERLINK("http://www.eatonpowersource.com/products/configure/motors/details/129-0107-002","129-0107-002")</f>
        <v>129-0107-002</v>
      </c>
      <c r="B16701" s="8" t="s">
        <v>15592</v>
      </c>
    </row>
    <row r="16702" spans="1:2" x14ac:dyDescent="0.3">
      <c r="A16702" s="9" t="str">
        <f>HYPERLINK("http://www.eatonpowersource.com/products/configure/motors/details/129-0113-002","129-0113-002")</f>
        <v>129-0113-002</v>
      </c>
      <c r="B16702" s="10" t="s">
        <v>15593</v>
      </c>
    </row>
    <row r="16703" spans="1:2" x14ac:dyDescent="0.3">
      <c r="A16703" s="7" t="str">
        <f>HYPERLINK("http://www.eatonpowersource.com/products/configure/motors/details/129-0114-002","129-0114-002")</f>
        <v>129-0114-002</v>
      </c>
      <c r="B16703" s="8" t="s">
        <v>15594</v>
      </c>
    </row>
    <row r="16704" spans="1:2" x14ac:dyDescent="0.3">
      <c r="A16704" s="9" t="str">
        <f>HYPERLINK("http://www.eatonpowersource.com/products/configure/motors/details/129-0115-002","129-0115-002")</f>
        <v>129-0115-002</v>
      </c>
      <c r="B16704" s="10" t="s">
        <v>15595</v>
      </c>
    </row>
    <row r="16705" spans="1:2" x14ac:dyDescent="0.3">
      <c r="A16705" s="7" t="str">
        <f>HYPERLINK("http://www.eatonpowersource.com/products/configure/motors/details/129-0116-002","129-0116-002")</f>
        <v>129-0116-002</v>
      </c>
      <c r="B16705" s="8" t="s">
        <v>15596</v>
      </c>
    </row>
    <row r="16706" spans="1:2" x14ac:dyDescent="0.3">
      <c r="A16706" s="9" t="str">
        <f>HYPERLINK("http://www.eatonpowersource.com/products/configure/motors/details/129-0117-002","129-0117-002")</f>
        <v>129-0117-002</v>
      </c>
      <c r="B16706" s="10" t="s">
        <v>15597</v>
      </c>
    </row>
    <row r="16707" spans="1:2" x14ac:dyDescent="0.3">
      <c r="A16707" s="7" t="str">
        <f>HYPERLINK("http://www.eatonpowersource.com/products/configure/motors/details/129-0118-002","129-0118-002")</f>
        <v>129-0118-002</v>
      </c>
      <c r="B16707" s="8" t="s">
        <v>15598</v>
      </c>
    </row>
    <row r="16708" spans="1:2" x14ac:dyDescent="0.3">
      <c r="A16708" s="9" t="str">
        <f>HYPERLINK("http://www.eatonpowersource.com/products/configure/motors/details/129-0120-002","129-0120-002")</f>
        <v>129-0120-002</v>
      </c>
      <c r="B16708" s="10" t="s">
        <v>15599</v>
      </c>
    </row>
    <row r="16709" spans="1:2" x14ac:dyDescent="0.3">
      <c r="A16709" s="7" t="str">
        <f>HYPERLINK("http://www.eatonpowersource.com/products/configure/motors/details/129-0130-002","129-0130-002")</f>
        <v>129-0130-002</v>
      </c>
      <c r="B16709" s="8" t="s">
        <v>15600</v>
      </c>
    </row>
    <row r="16710" spans="1:2" x14ac:dyDescent="0.3">
      <c r="A16710" s="9" t="str">
        <f>HYPERLINK("http://www.eatonpowersource.com/products/configure/motors/details/129-0132-002","129-0132-002")</f>
        <v>129-0132-002</v>
      </c>
      <c r="B16710" s="10" t="s">
        <v>15601</v>
      </c>
    </row>
    <row r="16711" spans="1:2" x14ac:dyDescent="0.3">
      <c r="A16711" s="7" t="str">
        <f>HYPERLINK("http://www.eatonpowersource.com/products/configure/motors/details/129-0140-002","129-0140-002")</f>
        <v>129-0140-002</v>
      </c>
      <c r="B16711" s="8" t="s">
        <v>15602</v>
      </c>
    </row>
    <row r="16712" spans="1:2" x14ac:dyDescent="0.3">
      <c r="A16712" s="9" t="str">
        <f>HYPERLINK("http://www.eatonpowersource.com/products/configure/motors/details/129-0149-002","129-0149-002")</f>
        <v>129-0149-002</v>
      </c>
      <c r="B16712" s="10" t="s">
        <v>15603</v>
      </c>
    </row>
    <row r="16713" spans="1:2" x14ac:dyDescent="0.3">
      <c r="A16713" s="7" t="str">
        <f>HYPERLINK("http://www.eatonpowersource.com/products/configure/motors/details/129-0160-002","129-0160-002")</f>
        <v>129-0160-002</v>
      </c>
      <c r="B16713" s="8" t="s">
        <v>15604</v>
      </c>
    </row>
    <row r="16714" spans="1:2" x14ac:dyDescent="0.3">
      <c r="A16714" s="9" t="str">
        <f>HYPERLINK("http://www.eatonpowersource.com/products/configure/motors/details/129-0175-002","129-0175-002")</f>
        <v>129-0175-002</v>
      </c>
      <c r="B16714" s="10" t="s">
        <v>15605</v>
      </c>
    </row>
    <row r="16715" spans="1:2" x14ac:dyDescent="0.3">
      <c r="A16715" s="7" t="str">
        <f>HYPERLINK("http://www.eatonpowersource.com/products/configure/motors/details/129-0222-002","129-0222-002")</f>
        <v>129-0222-002</v>
      </c>
      <c r="B16715" s="8" t="s">
        <v>15606</v>
      </c>
    </row>
    <row r="16716" spans="1:2" x14ac:dyDescent="0.3">
      <c r="A16716" s="9" t="str">
        <f>HYPERLINK("http://www.eatonpowersource.com/products/configure/motors/details/129-0226-002","129-0226-002")</f>
        <v>129-0226-002</v>
      </c>
      <c r="B16716" s="10" t="s">
        <v>15607</v>
      </c>
    </row>
    <row r="16717" spans="1:2" x14ac:dyDescent="0.3">
      <c r="A16717" s="7" t="str">
        <f>HYPERLINK("http://www.eatonpowersource.com/products/configure/motors/details/129-0244-002","129-0244-002")</f>
        <v>129-0244-002</v>
      </c>
      <c r="B16717" s="8" t="s">
        <v>15608</v>
      </c>
    </row>
    <row r="16718" spans="1:2" x14ac:dyDescent="0.3">
      <c r="A16718" s="9" t="str">
        <f>HYPERLINK("http://www.eatonpowersource.com/products/configure/motors/details/129-0291-002","129-0291-002")</f>
        <v>129-0291-002</v>
      </c>
      <c r="B16718" s="10" t="s">
        <v>15609</v>
      </c>
    </row>
    <row r="16719" spans="1:2" x14ac:dyDescent="0.3">
      <c r="A16719" s="7" t="str">
        <f>HYPERLINK("http://www.eatonpowersource.com/products/configure/motors/details/129-0294-002","129-0294-002")</f>
        <v>129-0294-002</v>
      </c>
      <c r="B16719" s="8" t="s">
        <v>15610</v>
      </c>
    </row>
    <row r="16720" spans="1:2" x14ac:dyDescent="0.3">
      <c r="A16720" s="9" t="str">
        <f>HYPERLINK("http://www.eatonpowersource.com/products/configure/motors/details/129-0313-002","129-0313-002")</f>
        <v>129-0313-002</v>
      </c>
      <c r="B16720" s="10" t="s">
        <v>15611</v>
      </c>
    </row>
    <row r="16721" spans="1:2" x14ac:dyDescent="0.3">
      <c r="A16721" s="7" t="str">
        <f>HYPERLINK("http://www.eatonpowersource.com/products/configure/motors/details/129-0316-002","129-0316-002")</f>
        <v>129-0316-002</v>
      </c>
      <c r="B16721" s="8" t="s">
        <v>15612</v>
      </c>
    </row>
    <row r="16722" spans="1:2" x14ac:dyDescent="0.3">
      <c r="A16722" s="9" t="str">
        <f>HYPERLINK("http://www.eatonpowersource.com/products/configure/motors/details/129-0317-002","129-0317-002")</f>
        <v>129-0317-002</v>
      </c>
      <c r="B16722" s="10" t="s">
        <v>15613</v>
      </c>
    </row>
    <row r="16723" spans="1:2" x14ac:dyDescent="0.3">
      <c r="A16723" s="7" t="str">
        <f>HYPERLINK("http://www.eatonpowersource.com/products/configure/motors/details/129-0318-002","129-0318-002")</f>
        <v>129-0318-002</v>
      </c>
      <c r="B16723" s="8" t="s">
        <v>15614</v>
      </c>
    </row>
    <row r="16724" spans="1:2" x14ac:dyDescent="0.3">
      <c r="A16724" s="9" t="str">
        <f>HYPERLINK("http://www.eatonpowersource.com/products/configure/motors/details/129-0322-002","129-0322-002")</f>
        <v>129-0322-002</v>
      </c>
      <c r="B16724" s="10" t="s">
        <v>15615</v>
      </c>
    </row>
    <row r="16725" spans="1:2" x14ac:dyDescent="0.3">
      <c r="A16725" s="7" t="str">
        <f>HYPERLINK("http://www.eatonpowersource.com/products/configure/motors/details/129-0323-002","129-0323-002")</f>
        <v>129-0323-002</v>
      </c>
      <c r="B16725" s="8" t="s">
        <v>15616</v>
      </c>
    </row>
    <row r="16726" spans="1:2" x14ac:dyDescent="0.3">
      <c r="A16726" s="9" t="str">
        <f>HYPERLINK("http://www.eatonpowersource.com/products/configure/motors/details/129-0327-002","129-0327-002")</f>
        <v>129-0327-002</v>
      </c>
      <c r="B16726" s="10" t="s">
        <v>15617</v>
      </c>
    </row>
    <row r="16727" spans="1:2" x14ac:dyDescent="0.3">
      <c r="A16727" s="7" t="str">
        <f>HYPERLINK("http://www.eatonpowersource.com/products/configure/motors/details/129-0329-002","129-0329-002")</f>
        <v>129-0329-002</v>
      </c>
      <c r="B16727" s="8" t="s">
        <v>15618</v>
      </c>
    </row>
    <row r="16728" spans="1:2" x14ac:dyDescent="0.3">
      <c r="A16728" s="9" t="str">
        <f>HYPERLINK("http://www.eatonpowersource.com/products/configure/motors/details/129-0330-002","129-0330-002")</f>
        <v>129-0330-002</v>
      </c>
      <c r="B16728" s="10" t="s">
        <v>15619</v>
      </c>
    </row>
    <row r="16729" spans="1:2" x14ac:dyDescent="0.3">
      <c r="A16729" s="7" t="str">
        <f>HYPERLINK("http://www.eatonpowersource.com/products/configure/motors/details/129-0336-002","129-0336-002")</f>
        <v>129-0336-002</v>
      </c>
      <c r="B16729" s="8" t="s">
        <v>15620</v>
      </c>
    </row>
    <row r="16730" spans="1:2" x14ac:dyDescent="0.3">
      <c r="A16730" s="9" t="str">
        <f>HYPERLINK("http://www.eatonpowersource.com/products/configure/motors/details/129-0342-002","129-0342-002")</f>
        <v>129-0342-002</v>
      </c>
      <c r="B16730" s="10" t="s">
        <v>15621</v>
      </c>
    </row>
    <row r="16731" spans="1:2" x14ac:dyDescent="0.3">
      <c r="A16731" s="7" t="str">
        <f>HYPERLINK("http://www.eatonpowersource.com/products/configure/motors/details/129-0365-002","129-0365-002")</f>
        <v>129-0365-002</v>
      </c>
      <c r="B16731" s="8" t="s">
        <v>15622</v>
      </c>
    </row>
    <row r="16732" spans="1:2" x14ac:dyDescent="0.3">
      <c r="A16732" s="9" t="str">
        <f>HYPERLINK("http://www.eatonpowersource.com/products/configure/motors/details/129-0366-002","129-0366-002")</f>
        <v>129-0366-002</v>
      </c>
      <c r="B16732" s="10" t="s">
        <v>15623</v>
      </c>
    </row>
    <row r="16733" spans="1:2" x14ac:dyDescent="0.3">
      <c r="A16733" s="7" t="str">
        <f>HYPERLINK("http://www.eatonpowersource.com/products/configure/motors/details/129-0371-002","129-0371-002")</f>
        <v>129-0371-002</v>
      </c>
      <c r="B16733" s="8" t="s">
        <v>15624</v>
      </c>
    </row>
    <row r="16734" spans="1:2" x14ac:dyDescent="0.3">
      <c r="A16734" s="9" t="str">
        <f>HYPERLINK("http://www.eatonpowersource.com/products/configure/motors/details/129-0372-002","129-0372-002")</f>
        <v>129-0372-002</v>
      </c>
      <c r="B16734" s="10" t="s">
        <v>15625</v>
      </c>
    </row>
    <row r="16735" spans="1:2" x14ac:dyDescent="0.3">
      <c r="A16735" s="7" t="str">
        <f>HYPERLINK("http://www.eatonpowersource.com/products/configure/motors/details/129-0373-002","129-0373-002")</f>
        <v>129-0373-002</v>
      </c>
      <c r="B16735" s="8" t="s">
        <v>15626</v>
      </c>
    </row>
    <row r="16736" spans="1:2" x14ac:dyDescent="0.3">
      <c r="A16736" s="9" t="str">
        <f>HYPERLINK("http://www.eatonpowersource.com/products/configure/motors/details/129-0374-002","129-0374-002")</f>
        <v>129-0374-002</v>
      </c>
      <c r="B16736" s="10" t="s">
        <v>15627</v>
      </c>
    </row>
    <row r="16737" spans="1:2" x14ac:dyDescent="0.3">
      <c r="A16737" s="7" t="str">
        <f>HYPERLINK("http://www.eatonpowersource.com/products/configure/motors/details/129-0375-002","129-0375-002")</f>
        <v>129-0375-002</v>
      </c>
      <c r="B16737" s="8" t="s">
        <v>15628</v>
      </c>
    </row>
    <row r="16738" spans="1:2" x14ac:dyDescent="0.3">
      <c r="A16738" s="9" t="str">
        <f>HYPERLINK("http://www.eatonpowersource.com/products/configure/motors/details/129-0376-002","129-0376-002")</f>
        <v>129-0376-002</v>
      </c>
      <c r="B16738" s="10" t="s">
        <v>15629</v>
      </c>
    </row>
    <row r="16739" spans="1:2" x14ac:dyDescent="0.3">
      <c r="A16739" s="7" t="str">
        <f>HYPERLINK("http://www.eatonpowersource.com/products/configure/motors/details/129-0377-002","129-0377-002")</f>
        <v>129-0377-002</v>
      </c>
      <c r="B16739" s="8" t="s">
        <v>15630</v>
      </c>
    </row>
    <row r="16740" spans="1:2" x14ac:dyDescent="0.3">
      <c r="A16740" s="9" t="str">
        <f>HYPERLINK("http://www.eatonpowersource.com/products/configure/motors/details/129-0378-002","129-0378-002")</f>
        <v>129-0378-002</v>
      </c>
      <c r="B16740" s="10" t="s">
        <v>15631</v>
      </c>
    </row>
    <row r="16741" spans="1:2" x14ac:dyDescent="0.3">
      <c r="A16741" s="7" t="str">
        <f>HYPERLINK("http://www.eatonpowersource.com/products/configure/motors/details/129-0380-002","129-0380-002")</f>
        <v>129-0380-002</v>
      </c>
      <c r="B16741" s="8" t="s">
        <v>15632</v>
      </c>
    </row>
    <row r="16742" spans="1:2" x14ac:dyDescent="0.3">
      <c r="A16742" s="9" t="str">
        <f>HYPERLINK("http://www.eatonpowersource.com/products/configure/motors/details/129-0403-002","129-0403-002")</f>
        <v>129-0403-002</v>
      </c>
      <c r="B16742" s="10" t="s">
        <v>15633</v>
      </c>
    </row>
    <row r="16743" spans="1:2" x14ac:dyDescent="0.3">
      <c r="A16743" s="7" t="str">
        <f>HYPERLINK("http://www.eatonpowersource.com/products/configure/motors/details/129-0404-002","129-0404-002")</f>
        <v>129-0404-002</v>
      </c>
      <c r="B16743" s="8" t="s">
        <v>15634</v>
      </c>
    </row>
    <row r="16744" spans="1:2" x14ac:dyDescent="0.3">
      <c r="A16744" s="9" t="str">
        <f>HYPERLINK("http://www.eatonpowersource.com/products/configure/motors/details/129-0410-002","129-0410-002")</f>
        <v>129-0410-002</v>
      </c>
      <c r="B16744" s="10" t="s">
        <v>15635</v>
      </c>
    </row>
    <row r="16745" spans="1:2" x14ac:dyDescent="0.3">
      <c r="A16745" s="7" t="str">
        <f>HYPERLINK("http://www.eatonpowersource.com/products/configure/motors/details/129-0413-002","129-0413-002")</f>
        <v>129-0413-002</v>
      </c>
      <c r="B16745" s="8" t="s">
        <v>15636</v>
      </c>
    </row>
    <row r="16746" spans="1:2" x14ac:dyDescent="0.3">
      <c r="A16746" s="9" t="str">
        <f>HYPERLINK("http://www.eatonpowersource.com/products/configure/motors/details/129-0420-002","129-0420-002")</f>
        <v>129-0420-002</v>
      </c>
      <c r="B16746" s="10" t="s">
        <v>15637</v>
      </c>
    </row>
    <row r="16747" spans="1:2" x14ac:dyDescent="0.3">
      <c r="A16747" s="7" t="str">
        <f>HYPERLINK("http://www.eatonpowersource.com/products/configure/motors/details/129-0421-002","129-0421-002")</f>
        <v>129-0421-002</v>
      </c>
      <c r="B16747" s="8" t="s">
        <v>15638</v>
      </c>
    </row>
    <row r="16748" spans="1:2" x14ac:dyDescent="0.3">
      <c r="A16748" s="9" t="str">
        <f>HYPERLINK("http://www.eatonpowersource.com/products/configure/motors/details/129-0422-002","129-0422-002")</f>
        <v>129-0422-002</v>
      </c>
      <c r="B16748" s="10" t="s">
        <v>15639</v>
      </c>
    </row>
    <row r="16749" spans="1:2" x14ac:dyDescent="0.3">
      <c r="A16749" s="7" t="str">
        <f>HYPERLINK("http://www.eatonpowersource.com/products/configure/motors/details/129-0440-002","129-0440-002")</f>
        <v>129-0440-002</v>
      </c>
      <c r="B16749" s="8" t="s">
        <v>15640</v>
      </c>
    </row>
    <row r="16750" spans="1:2" x14ac:dyDescent="0.3">
      <c r="A16750" s="9" t="str">
        <f>HYPERLINK("http://www.eatonpowersource.com/products/configure/motors/details/129-0452-002","129-0452-002")</f>
        <v>129-0452-002</v>
      </c>
      <c r="B16750" s="10" t="s">
        <v>15641</v>
      </c>
    </row>
    <row r="16751" spans="1:2" x14ac:dyDescent="0.3">
      <c r="A16751" s="7" t="str">
        <f>HYPERLINK("http://www.eatonpowersource.com/products/configure/motors/details/129-0453-002","129-0453-002")</f>
        <v>129-0453-002</v>
      </c>
      <c r="B16751" s="8" t="s">
        <v>15642</v>
      </c>
    </row>
    <row r="16752" spans="1:2" x14ac:dyDescent="0.3">
      <c r="A16752" s="9" t="str">
        <f>HYPERLINK("http://www.eatonpowersource.com/products/configure/motors/details/129-0455-002","129-0455-002")</f>
        <v>129-0455-002</v>
      </c>
      <c r="B16752" s="10" t="s">
        <v>15643</v>
      </c>
    </row>
    <row r="16753" spans="1:2" x14ac:dyDescent="0.3">
      <c r="A16753" s="7" t="str">
        <f>HYPERLINK("http://www.eatonpowersource.com/products/configure/motors/details/129-0456-002","129-0456-002")</f>
        <v>129-0456-002</v>
      </c>
      <c r="B16753" s="8" t="s">
        <v>15644</v>
      </c>
    </row>
    <row r="16754" spans="1:2" x14ac:dyDescent="0.3">
      <c r="A16754" s="9" t="str">
        <f>HYPERLINK("http://www.eatonpowersource.com/products/configure/motors/details/129-0464-002","129-0464-002")</f>
        <v>129-0464-002</v>
      </c>
      <c r="B16754" s="10" t="s">
        <v>15645</v>
      </c>
    </row>
    <row r="16755" spans="1:2" x14ac:dyDescent="0.3">
      <c r="A16755" s="7" t="str">
        <f>HYPERLINK("http://www.eatonpowersource.com/products/configure/motors/details/129-0467-002","129-0467-002")</f>
        <v>129-0467-002</v>
      </c>
      <c r="B16755" s="8" t="s">
        <v>15646</v>
      </c>
    </row>
    <row r="16756" spans="1:2" x14ac:dyDescent="0.3">
      <c r="A16756" s="9" t="str">
        <f>HYPERLINK("http://www.eatonpowersource.com/products/configure/motors/details/129-0468-002","129-0468-002")</f>
        <v>129-0468-002</v>
      </c>
      <c r="B16756" s="10" t="s">
        <v>15647</v>
      </c>
    </row>
    <row r="16757" spans="1:2" x14ac:dyDescent="0.3">
      <c r="A16757" s="7" t="str">
        <f>HYPERLINK("http://www.eatonpowersource.com/products/configure/motors/details/129-0470-002","129-0470-002")</f>
        <v>129-0470-002</v>
      </c>
      <c r="B16757" s="8" t="s">
        <v>15648</v>
      </c>
    </row>
    <row r="16758" spans="1:2" x14ac:dyDescent="0.3">
      <c r="A16758" s="9" t="str">
        <f>HYPERLINK("http://www.eatonpowersource.com/products/configure/motors/details/129-0471-002","129-0471-002")</f>
        <v>129-0471-002</v>
      </c>
      <c r="B16758" s="10" t="s">
        <v>15649</v>
      </c>
    </row>
    <row r="16759" spans="1:2" x14ac:dyDescent="0.3">
      <c r="A16759" s="7" t="str">
        <f>HYPERLINK("http://www.eatonpowersource.com/products/configure/motors/details/129-0478-002","129-0478-002")</f>
        <v>129-0478-002</v>
      </c>
      <c r="B16759" s="8" t="s">
        <v>15650</v>
      </c>
    </row>
    <row r="16760" spans="1:2" x14ac:dyDescent="0.3">
      <c r="A16760" s="9" t="str">
        <f>HYPERLINK("http://www.eatonpowersource.com/products/configure/motors/details/129-0479-002","129-0479-002")</f>
        <v>129-0479-002</v>
      </c>
      <c r="B16760" s="10" t="s">
        <v>15651</v>
      </c>
    </row>
    <row r="16761" spans="1:2" x14ac:dyDescent="0.3">
      <c r="A16761" s="7" t="str">
        <f>HYPERLINK("http://www.eatonpowersource.com/products/configure/motors/details/129-0483-002","129-0483-002")</f>
        <v>129-0483-002</v>
      </c>
      <c r="B16761" s="8" t="s">
        <v>15652</v>
      </c>
    </row>
    <row r="16762" spans="1:2" x14ac:dyDescent="0.3">
      <c r="A16762" s="9" t="str">
        <f>HYPERLINK("http://www.eatonpowersource.com/products/configure/motors/details/129-0484-002","129-0484-002")</f>
        <v>129-0484-002</v>
      </c>
      <c r="B16762" s="10" t="s">
        <v>15653</v>
      </c>
    </row>
    <row r="16763" spans="1:2" x14ac:dyDescent="0.3">
      <c r="A16763" s="7" t="str">
        <f>HYPERLINK("http://www.eatonpowersource.com/products/configure/motors/details/129-0489-002","129-0489-002")</f>
        <v>129-0489-002</v>
      </c>
      <c r="B16763" s="8" t="s">
        <v>15654</v>
      </c>
    </row>
    <row r="16764" spans="1:2" x14ac:dyDescent="0.3">
      <c r="A16764" s="9" t="str">
        <f>HYPERLINK("http://www.eatonpowersource.com/products/configure/motors/details/129-0490-002","129-0490-002")</f>
        <v>129-0490-002</v>
      </c>
      <c r="B16764" s="10" t="s">
        <v>15655</v>
      </c>
    </row>
    <row r="16765" spans="1:2" x14ac:dyDescent="0.3">
      <c r="A16765" s="7" t="str">
        <f>HYPERLINK("http://www.eatonpowersource.com/products/configure/motors/details/129-0497-002","129-0497-002")</f>
        <v>129-0497-002</v>
      </c>
      <c r="B16765" s="8" t="s">
        <v>15656</v>
      </c>
    </row>
    <row r="16766" spans="1:2" x14ac:dyDescent="0.3">
      <c r="A16766" s="9" t="str">
        <f>HYPERLINK("http://www.eatonpowersource.com/products/configure/motors/details/129-0499-002","129-0499-002")</f>
        <v>129-0499-002</v>
      </c>
      <c r="B16766" s="10" t="s">
        <v>15657</v>
      </c>
    </row>
    <row r="16767" spans="1:2" x14ac:dyDescent="0.3">
      <c r="A16767" s="7" t="str">
        <f>HYPERLINK("http://www.eatonpowersource.com/products/configure/motors/details/129-0513-002","129-0513-002")</f>
        <v>129-0513-002</v>
      </c>
      <c r="B16767" s="8" t="s">
        <v>15658</v>
      </c>
    </row>
    <row r="16768" spans="1:2" x14ac:dyDescent="0.3">
      <c r="A16768" s="9" t="str">
        <f>HYPERLINK("http://www.eatonpowersource.com/products/configure/motors/details/129-0516-002","129-0516-002")</f>
        <v>129-0516-002</v>
      </c>
      <c r="B16768" s="10" t="s">
        <v>15659</v>
      </c>
    </row>
    <row r="16769" spans="1:2" x14ac:dyDescent="0.3">
      <c r="A16769" s="7" t="str">
        <f>HYPERLINK("http://www.eatonpowersource.com/products/configure/motors/details/129-0517-002","129-0517-002")</f>
        <v>129-0517-002</v>
      </c>
      <c r="B16769" s="8" t="s">
        <v>15660</v>
      </c>
    </row>
    <row r="16770" spans="1:2" x14ac:dyDescent="0.3">
      <c r="A16770" s="9" t="str">
        <f>HYPERLINK("http://www.eatonpowersource.com/products/configure/motors/details/129-0522-002","129-0522-002")</f>
        <v>129-0522-002</v>
      </c>
      <c r="B16770" s="10" t="s">
        <v>15661</v>
      </c>
    </row>
    <row r="16771" spans="1:2" x14ac:dyDescent="0.3">
      <c r="A16771" s="7" t="str">
        <f>HYPERLINK("http://www.eatonpowersource.com/products/configure/motors/details/129-0523-002","129-0523-002")</f>
        <v>129-0523-002</v>
      </c>
      <c r="B16771" s="8" t="s">
        <v>15662</v>
      </c>
    </row>
    <row r="16772" spans="1:2" x14ac:dyDescent="0.3">
      <c r="A16772" s="9" t="str">
        <f>HYPERLINK("http://www.eatonpowersource.com/products/configure/motors/details/129-0532-002","129-0532-002")</f>
        <v>129-0532-002</v>
      </c>
      <c r="B16772" s="10" t="s">
        <v>15663</v>
      </c>
    </row>
    <row r="16773" spans="1:2" x14ac:dyDescent="0.3">
      <c r="A16773" s="7" t="str">
        <f>HYPERLINK("http://www.eatonpowersource.com/products/configure/motors/details/129-0539-002","129-0539-002")</f>
        <v>129-0539-002</v>
      </c>
      <c r="B16773" s="8" t="s">
        <v>15664</v>
      </c>
    </row>
    <row r="16774" spans="1:2" x14ac:dyDescent="0.3">
      <c r="A16774" s="9" t="str">
        <f>HYPERLINK("http://www.eatonpowersource.com/products/configure/motors/details/129-0544-002","129-0544-002")</f>
        <v>129-0544-002</v>
      </c>
      <c r="B16774" s="10" t="s">
        <v>15665</v>
      </c>
    </row>
    <row r="16775" spans="1:2" x14ac:dyDescent="0.3">
      <c r="A16775" s="7" t="str">
        <f>HYPERLINK("http://www.eatonpowersource.com/products/configure/motors/details/129-0545-002","129-0545-002")</f>
        <v>129-0545-002</v>
      </c>
      <c r="B16775" s="8" t="s">
        <v>15666</v>
      </c>
    </row>
    <row r="16776" spans="1:2" x14ac:dyDescent="0.3">
      <c r="A16776" s="9" t="str">
        <f>HYPERLINK("http://www.eatonpowersource.com/products/configure/motors/details/129-0548-002","129-0548-002")</f>
        <v>129-0548-002</v>
      </c>
      <c r="B16776" s="10" t="s">
        <v>15667</v>
      </c>
    </row>
    <row r="16777" spans="1:2" x14ac:dyDescent="0.3">
      <c r="A16777" s="7" t="str">
        <f>HYPERLINK("http://www.eatonpowersource.com/products/configure/motors/details/129-0558-002","129-0558-002")</f>
        <v>129-0558-002</v>
      </c>
      <c r="B16777" s="8" t="s">
        <v>15668</v>
      </c>
    </row>
    <row r="16778" spans="1:2" x14ac:dyDescent="0.3">
      <c r="A16778" s="9" t="str">
        <f>HYPERLINK("http://www.eatonpowersource.com/products/configure/motors/details/129-0570-002","129-0570-002")</f>
        <v>129-0570-002</v>
      </c>
      <c r="B16778" s="10" t="s">
        <v>15669</v>
      </c>
    </row>
    <row r="16779" spans="1:2" x14ac:dyDescent="0.3">
      <c r="A16779" s="7" t="str">
        <f>HYPERLINK("http://www.eatonpowersource.com/products/configure/motors/details/129-0575-002","129-0575-002")</f>
        <v>129-0575-002</v>
      </c>
      <c r="B16779" s="8" t="s">
        <v>15670</v>
      </c>
    </row>
    <row r="16780" spans="1:2" x14ac:dyDescent="0.3">
      <c r="A16780" s="9" t="str">
        <f>HYPERLINK("http://www.eatonpowersource.com/products/configure/motors/details/129-0580-002","129-0580-002")</f>
        <v>129-0580-002</v>
      </c>
      <c r="B16780" s="10" t="s">
        <v>15671</v>
      </c>
    </row>
    <row r="16781" spans="1:2" x14ac:dyDescent="0.3">
      <c r="A16781" s="7" t="str">
        <f>HYPERLINK("http://www.eatonpowersource.com/products/configure/motors/details/129-0596-002","129-0596-002")</f>
        <v>129-0596-002</v>
      </c>
      <c r="B16781" s="8" t="s">
        <v>15672</v>
      </c>
    </row>
    <row r="16782" spans="1:2" x14ac:dyDescent="0.3">
      <c r="A16782" s="9" t="str">
        <f>HYPERLINK("http://www.eatonpowersource.com/products/configure/motors/details/129-0599-002","129-0599-002")</f>
        <v>129-0599-002</v>
      </c>
      <c r="B16782" s="10" t="s">
        <v>15673</v>
      </c>
    </row>
    <row r="16783" spans="1:2" x14ac:dyDescent="0.3">
      <c r="A16783" s="7" t="str">
        <f>HYPERLINK("http://www.eatonpowersource.com/products/configure/motors/details/129-0606-002","129-0606-002")</f>
        <v>129-0606-002</v>
      </c>
      <c r="B16783" s="8" t="s">
        <v>15674</v>
      </c>
    </row>
    <row r="16784" spans="1:2" x14ac:dyDescent="0.3">
      <c r="A16784" s="9" t="str">
        <f>HYPERLINK("http://www.eatonpowersource.com/products/configure/motors/details/129-0638-002","129-0638-002")</f>
        <v>129-0638-002</v>
      </c>
      <c r="B16784" s="10" t="s">
        <v>15675</v>
      </c>
    </row>
    <row r="16785" spans="1:2" x14ac:dyDescent="0.3">
      <c r="A16785" s="7" t="str">
        <f>HYPERLINK("http://www.eatonpowersource.com/products/configure/motors/details/129-0649-002","129-0649-002")</f>
        <v>129-0649-002</v>
      </c>
      <c r="B16785" s="8" t="s">
        <v>15676</v>
      </c>
    </row>
    <row r="16786" spans="1:2" x14ac:dyDescent="0.3">
      <c r="A16786" s="9" t="str">
        <f>HYPERLINK("http://www.eatonpowersource.com/products/configure/motors/details/129-0679-002","129-0679-002")</f>
        <v>129-0679-002</v>
      </c>
      <c r="B16786" s="10" t="s">
        <v>15677</v>
      </c>
    </row>
    <row r="16787" spans="1:2" x14ac:dyDescent="0.3">
      <c r="A16787" s="7" t="str">
        <f>HYPERLINK("http://www.eatonpowersource.com/products/configure/motors/details/129-0684-002","129-0684-002")</f>
        <v>129-0684-002</v>
      </c>
      <c r="B16787" s="8" t="s">
        <v>15678</v>
      </c>
    </row>
    <row r="16788" spans="1:2" x14ac:dyDescent="0.3">
      <c r="A16788" s="9" t="str">
        <f>HYPERLINK("http://www.eatonpowersource.com/products/configure/motors/details/129-0696-002","129-0696-002")</f>
        <v>129-0696-002</v>
      </c>
      <c r="B16788" s="10" t="s">
        <v>15679</v>
      </c>
    </row>
    <row r="16789" spans="1:2" x14ac:dyDescent="0.3">
      <c r="A16789" s="7" t="str">
        <f>HYPERLINK("http://www.eatonpowersource.com/products/configure/motors/details/129-0704-002","129-0704-002")</f>
        <v>129-0704-002</v>
      </c>
      <c r="B16789" s="8" t="s">
        <v>15680</v>
      </c>
    </row>
    <row r="16790" spans="1:2" x14ac:dyDescent="0.3">
      <c r="A16790" s="9" t="str">
        <f>HYPERLINK("http://www.eatonpowersource.com/products/configure/motors/details/129-0705-002","129-0705-002")</f>
        <v>129-0705-002</v>
      </c>
      <c r="B16790" s="10" t="s">
        <v>15681</v>
      </c>
    </row>
    <row r="16791" spans="1:2" x14ac:dyDescent="0.3">
      <c r="A16791" s="7" t="str">
        <f>HYPERLINK("http://www.eatonpowersource.com/products/configure/motors/details/129-0706-002","129-0706-002")</f>
        <v>129-0706-002</v>
      </c>
      <c r="B16791" s="8" t="s">
        <v>15682</v>
      </c>
    </row>
    <row r="16792" spans="1:2" x14ac:dyDescent="0.3">
      <c r="A16792" s="9" t="str">
        <f>HYPERLINK("http://www.eatonpowersource.com/products/configure/motors/details/129-0710-002","129-0710-002")</f>
        <v>129-0710-002</v>
      </c>
      <c r="B16792" s="10" t="s">
        <v>15683</v>
      </c>
    </row>
    <row r="16793" spans="1:2" x14ac:dyDescent="0.3">
      <c r="A16793" s="7" t="str">
        <f>HYPERLINK("http://www.eatonpowersource.com/products/configure/mobile%20valves/details/30921-cfc","30921-CFC")</f>
        <v>30921-CFC</v>
      </c>
      <c r="B16793" s="8" t="s">
        <v>15684</v>
      </c>
    </row>
    <row r="16794" spans="1:2" x14ac:dyDescent="0.3">
      <c r="A16794" s="9" t="str">
        <f>HYPERLINK("http://www.eatonpowersource.com/products/configure/mobile%20valves/details/30923-cbw","30923-CBW")</f>
        <v>30923-CBW</v>
      </c>
      <c r="B16794" s="10" t="s">
        <v>15685</v>
      </c>
    </row>
    <row r="16795" spans="1:2" x14ac:dyDescent="0.3">
      <c r="A16795" s="7" t="str">
        <f>HYPERLINK("http://www.eatonpowersource.com/products/configure/mobile%20valves/details/32014-pe15","32014-PE15")</f>
        <v>32014-PE15</v>
      </c>
      <c r="B16795" s="8" t="s">
        <v>15686</v>
      </c>
    </row>
    <row r="16796" spans="1:2" x14ac:dyDescent="0.3">
      <c r="A16796" s="9" t="str">
        <f>HYPERLINK("http://www.eatonpowersource.com/products/configure/mobile%20valves/details/32060-if","32060-IF")</f>
        <v>32060-IF</v>
      </c>
      <c r="B16796" s="10" t="s">
        <v>15687</v>
      </c>
    </row>
    <row r="16797" spans="1:2" x14ac:dyDescent="0.3">
      <c r="A16797" s="7" t="str">
        <f>HYPERLINK("http://www.eatonpowersource.com/products/configure/mobile%20valves/details/32082-tb","32082-TB")</f>
        <v>32082-TB</v>
      </c>
      <c r="B16797" s="8" t="s">
        <v>15686</v>
      </c>
    </row>
    <row r="16798" spans="1:2" x14ac:dyDescent="0.3">
      <c r="A16798" s="9" t="str">
        <f>HYPERLINK("http://www.eatonpowersource.com/products/configure/mobile%20valves/details/39011-fak","39011-FAK")</f>
        <v>39011-FAK</v>
      </c>
      <c r="B16798" s="10" t="s">
        <v>15688</v>
      </c>
    </row>
    <row r="16799" spans="1:2" x14ac:dyDescent="0.3">
      <c r="A16799" s="7" t="str">
        <f>HYPERLINK("http://www.eatonpowersource.com/products/configure/mobile%20valves/details/39055-eaq","39055-EAQ")</f>
        <v>39055-EAQ</v>
      </c>
      <c r="B16799" s="8" t="s">
        <v>15689</v>
      </c>
    </row>
    <row r="16800" spans="1:2" x14ac:dyDescent="0.3">
      <c r="A16800" s="9" t="str">
        <f>HYPERLINK("http://www.eatonpowersource.com/products/configure/mobile%20valves/details/39055-ebg","39055-EBG")</f>
        <v>39055-EBG</v>
      </c>
      <c r="B16800" s="10" t="s">
        <v>15690</v>
      </c>
    </row>
    <row r="16801" spans="1:2" x14ac:dyDescent="0.3">
      <c r="A16801" s="7" t="str">
        <f>HYPERLINK("http://www.eatonpowersource.com/products/configure/mobile%20valves/details/39055-faz","39055-FAZ")</f>
        <v>39055-FAZ</v>
      </c>
      <c r="B16801" s="8" t="s">
        <v>15691</v>
      </c>
    </row>
    <row r="16802" spans="1:2" x14ac:dyDescent="0.3">
      <c r="A16802" s="9" t="str">
        <f>HYPERLINK("http://www.eatonpowersource.com/products/configure/mobile%20valves/details/604-1091-002-xa","604-1091-002-XA")</f>
        <v>604-1091-002-XA</v>
      </c>
      <c r="B16802" s="10" t="s">
        <v>15692</v>
      </c>
    </row>
    <row r="16803" spans="1:2" x14ac:dyDescent="0.3">
      <c r="A16803" s="7" t="str">
        <f>HYPERLINK("http://www.eatonpowersource.com/products/configure/mobile%20valves/details/606-1095-003-ja","606-1095-003-JA")</f>
        <v>606-1095-003-JA</v>
      </c>
      <c r="B16803" s="8" t="s">
        <v>15693</v>
      </c>
    </row>
    <row r="16804" spans="1:2" x14ac:dyDescent="0.3">
      <c r="A16804" s="9" t="str">
        <f>HYPERLINK("http://www.eatonpowersource.com/products/configure/mobile%20valves/details/606-1095-003-qa","606-1095-003-QA")</f>
        <v>606-1095-003-QA</v>
      </c>
      <c r="B16804" s="10" t="s">
        <v>15693</v>
      </c>
    </row>
    <row r="16805" spans="1:2" x14ac:dyDescent="0.3">
      <c r="A16805" s="7" t="str">
        <f>HYPERLINK("http://www.eatonpowersource.com/products/configure/mobile%20valves/details/606-1228-003-bg","606-1228-003-BG")</f>
        <v>606-1228-003-BG</v>
      </c>
      <c r="B16805" s="8" t="s">
        <v>15694</v>
      </c>
    </row>
    <row r="16806" spans="1:2" x14ac:dyDescent="0.3">
      <c r="A16806" s="9" t="str">
        <f>HYPERLINK("http://www.eatonpowersource.com/products/configure/mobile%20valves/details/606-1290-003-qa","606-1290-003-QA")</f>
        <v>606-1290-003-QA</v>
      </c>
      <c r="B16806" s="10" t="s">
        <v>15695</v>
      </c>
    </row>
    <row r="16807" spans="1:2" x14ac:dyDescent="0.3">
      <c r="A16807" s="7" t="str">
        <f>HYPERLINK("http://www.eatonpowersource.com/products/configure/mobile%20valves/details/606-1295-003-qa","606-1295-003-QA")</f>
        <v>606-1295-003-QA</v>
      </c>
      <c r="B16807" s="8" t="s">
        <v>15696</v>
      </c>
    </row>
    <row r="16808" spans="1:2" x14ac:dyDescent="0.3">
      <c r="A16808" s="9" t="str">
        <f>HYPERLINK("http://www.eatonpowersource.com/products/configure/mobile%20valves/details/606-1296-003-qa","606-1296-003-QA")</f>
        <v>606-1296-003-QA</v>
      </c>
      <c r="B16808" s="10" t="s">
        <v>15697</v>
      </c>
    </row>
    <row r="16809" spans="1:2" x14ac:dyDescent="0.3">
      <c r="A16809" s="7" t="str">
        <f>HYPERLINK("http://www.eatonpowersource.com/products/configure/mobile%20valves/details/606-1318-003-mc","606-1318-003-MC")</f>
        <v>606-1318-003-MC</v>
      </c>
      <c r="B16809" s="8" t="s">
        <v>15698</v>
      </c>
    </row>
    <row r="16810" spans="1:2" x14ac:dyDescent="0.3">
      <c r="A16810" s="9" t="str">
        <f>HYPERLINK("http://www.eatonpowersource.com/products/configure/mobile%20valves/details/606-1323-003-vd","606-1323-003-VD")</f>
        <v>606-1323-003-VD</v>
      </c>
      <c r="B16810" s="10" t="s">
        <v>15699</v>
      </c>
    </row>
    <row r="16811" spans="1:2" x14ac:dyDescent="0.3">
      <c r="A16811" s="7" t="str">
        <f>HYPERLINK("http://www.eatonpowersource.com/products/configure/mobile%20valves/details/606-1338-003-qa","606-1338-003-QA")</f>
        <v>606-1338-003-QA</v>
      </c>
      <c r="B16811" s="8" t="s">
        <v>15700</v>
      </c>
    </row>
    <row r="16812" spans="1:2" x14ac:dyDescent="0.3">
      <c r="A16812" s="9" t="str">
        <f>HYPERLINK("http://www.eatonpowersource.com/products/configure/mobile%20valves/details/606-1340-003-dd","606-1340-003-DD")</f>
        <v>606-1340-003-DD</v>
      </c>
      <c r="B16812" s="10" t="s">
        <v>15701</v>
      </c>
    </row>
    <row r="16813" spans="1:2" x14ac:dyDescent="0.3">
      <c r="A16813" s="7" t="str">
        <f>HYPERLINK("http://www.eatonpowersource.com/products/configure/mobile%20valves/details/606-1340-003-qa","606-1340-003-QA")</f>
        <v>606-1340-003-QA</v>
      </c>
      <c r="B16813" s="8" t="s">
        <v>15701</v>
      </c>
    </row>
    <row r="16814" spans="1:2" x14ac:dyDescent="0.3">
      <c r="A16814" s="9" t="str">
        <f>HYPERLINK("http://www.eatonpowersource.com/products/configure/mobile%20valves/details/606-1340-003-vk","606-1340-003-VK")</f>
        <v>606-1340-003-VK</v>
      </c>
      <c r="B16814" s="10" t="s">
        <v>15701</v>
      </c>
    </row>
    <row r="16815" spans="1:2" x14ac:dyDescent="0.3">
      <c r="A16815" s="7" t="str">
        <f>HYPERLINK("http://www.eatonpowersource.com/products/configure/mobile%20valves/details/606-1362-003-qa","606-1362-003-QA")</f>
        <v>606-1362-003-QA</v>
      </c>
      <c r="B16815" s="8" t="s">
        <v>15702</v>
      </c>
    </row>
    <row r="16816" spans="1:2" x14ac:dyDescent="0.3">
      <c r="A16816" s="9" t="str">
        <f>HYPERLINK("http://www.eatonpowersource.com/products/configure/mobile%20valves/details/606-1362-003-vk","606-1362-003-VK")</f>
        <v>606-1362-003-VK</v>
      </c>
      <c r="B16816" s="10" t="s">
        <v>15703</v>
      </c>
    </row>
    <row r="16817" spans="1:2" x14ac:dyDescent="0.3">
      <c r="A16817" s="7" t="str">
        <f>HYPERLINK("http://www.eatonpowersource.com/products/configure/mobile%20valves/details/606-1364-003-qa","606-1364-003-QA")</f>
        <v>606-1364-003-QA</v>
      </c>
      <c r="B16817" s="8" t="s">
        <v>15704</v>
      </c>
    </row>
    <row r="16818" spans="1:2" x14ac:dyDescent="0.3">
      <c r="A16818" s="9" t="str">
        <f>HYPERLINK("http://www.eatonpowersource.com/products/configure/mobile%20valves/details/606-1364-003-vk","606-1364-003-VK")</f>
        <v>606-1364-003-VK</v>
      </c>
      <c r="B16818" s="10" t="s">
        <v>15704</v>
      </c>
    </row>
    <row r="16819" spans="1:2" x14ac:dyDescent="0.3">
      <c r="A16819" s="7" t="str">
        <f>HYPERLINK("http://www.eatonpowersource.com/products/configure/mobile%20valves/details/606-1394-003-rd","606-1394-003-RD")</f>
        <v>606-1394-003-RD</v>
      </c>
      <c r="B16819" s="8" t="s">
        <v>15705</v>
      </c>
    </row>
    <row r="16820" spans="1:2" x14ac:dyDescent="0.3">
      <c r="A16820" s="9" t="str">
        <f>HYPERLINK("http://www.eatonpowersource.com/products/configure/mobile%20valves/details/606-1407-003-oo","606-1407-003-OO")</f>
        <v>606-1407-003-OO</v>
      </c>
      <c r="B16820" s="10" t="s">
        <v>15706</v>
      </c>
    </row>
    <row r="16821" spans="1:2" x14ac:dyDescent="0.3">
      <c r="A16821" s="7" t="str">
        <f>HYPERLINK("http://www.eatonpowersource.com/products/configure/mobile%20valves/details/606-1450-003-oo","606-1450-003-OO")</f>
        <v>606-1450-003-OO</v>
      </c>
      <c r="B16821" s="8" t="s">
        <v>15707</v>
      </c>
    </row>
    <row r="16822" spans="1:2" x14ac:dyDescent="0.3">
      <c r="A16822" s="9" t="str">
        <f>HYPERLINK("http://www.eatonpowersource.com/products/configure/mobile%20valves/details/606-1451-003-ga","606-1451-003-GA")</f>
        <v>606-1451-003-GA</v>
      </c>
      <c r="B16822" s="10" t="s">
        <v>15708</v>
      </c>
    </row>
    <row r="16823" spans="1:2" x14ac:dyDescent="0.3">
      <c r="A16823" s="7" t="str">
        <f>HYPERLINK("http://www.eatonpowersource.com/products/configure/mobile%20valves/details/606-1503-003-qc","606-1503-003-QC")</f>
        <v>606-1503-003-QC</v>
      </c>
      <c r="B16823" s="8" t="s">
        <v>15709</v>
      </c>
    </row>
    <row r="16824" spans="1:2" x14ac:dyDescent="0.3">
      <c r="A16824" s="9" t="str">
        <f>HYPERLINK("http://www.eatonpowersource.com/products/configure/mobile%20valves/details/606-1503-003-tb","606-1503-003-TB")</f>
        <v>606-1503-003-TB</v>
      </c>
      <c r="B16824" s="10" t="s">
        <v>15709</v>
      </c>
    </row>
    <row r="16825" spans="1:2" x14ac:dyDescent="0.3">
      <c r="A16825" s="7" t="str">
        <f>HYPERLINK("http://www.eatonpowersource.com/products/configure/mobile%20valves/details/606-1613-003-oo","606-1613-003-OO")</f>
        <v>606-1613-003-OO</v>
      </c>
      <c r="B16825" s="8" t="s">
        <v>15710</v>
      </c>
    </row>
    <row r="16826" spans="1:2" x14ac:dyDescent="0.3">
      <c r="A16826" s="9" t="str">
        <f>HYPERLINK("http://www.eatonpowersource.com/products/configure/pumps/details/421ak00016c","421AK00016C")</f>
        <v>421AK00016C</v>
      </c>
      <c r="B16826" s="10" t="s">
        <v>15711</v>
      </c>
    </row>
    <row r="16827" spans="1:2" x14ac:dyDescent="0.3">
      <c r="A16827" s="7" t="str">
        <f>HYPERLINK("http://www.eatonpowersource.com/products/configure/pumps/details/421ak00017c","421AK00017C")</f>
        <v>421AK00017C</v>
      </c>
      <c r="B16827" s="8" t="s">
        <v>15712</v>
      </c>
    </row>
    <row r="16828" spans="1:2" x14ac:dyDescent="0.3">
      <c r="A16828" s="9" t="str">
        <f>HYPERLINK("http://www.eatonpowersource.com/products/configure/pumps/details/421ak00018c","421AK00018C")</f>
        <v>421AK00018C</v>
      </c>
      <c r="B16828" s="10" t="s">
        <v>15713</v>
      </c>
    </row>
    <row r="16829" spans="1:2" x14ac:dyDescent="0.3">
      <c r="A16829" s="7" t="str">
        <f>HYPERLINK("http://www.eatonpowersource.com/products/configure/pumps/details/421ak00020c","421AK00020C")</f>
        <v>421AK00020C</v>
      </c>
      <c r="B16829" s="8" t="s">
        <v>15714</v>
      </c>
    </row>
    <row r="16830" spans="1:2" x14ac:dyDescent="0.3">
      <c r="A16830" s="9" t="str">
        <f>HYPERLINK("http://www.eatonpowersource.com/products/configure/pumps/details/421ak00021c","421AK00021C")</f>
        <v>421AK00021C</v>
      </c>
      <c r="B16830" s="10" t="s">
        <v>15715</v>
      </c>
    </row>
    <row r="16831" spans="1:2" x14ac:dyDescent="0.3">
      <c r="A16831" s="7" t="str">
        <f>HYPERLINK("http://www.eatonpowersource.com/products/configure/pumps/details/421ak00022c","421AK00022C")</f>
        <v>421AK00022C</v>
      </c>
      <c r="B16831" s="8" t="s">
        <v>15716</v>
      </c>
    </row>
    <row r="16832" spans="1:2" x14ac:dyDescent="0.3">
      <c r="A16832" s="9" t="str">
        <f>HYPERLINK("http://www.eatonpowersource.com/products/configure/pumps/details/421ak00024c","421AK00024C")</f>
        <v>421AK00024C</v>
      </c>
      <c r="B16832" s="10" t="s">
        <v>15717</v>
      </c>
    </row>
    <row r="16833" spans="1:2" x14ac:dyDescent="0.3">
      <c r="A16833" s="7" t="str">
        <f>HYPERLINK("http://www.eatonpowersource.com/products/configure/pumps/details/421ak00029c","421AK00029C")</f>
        <v>421AK00029C</v>
      </c>
      <c r="B16833" s="8" t="s">
        <v>15718</v>
      </c>
    </row>
    <row r="16834" spans="1:2" x14ac:dyDescent="0.3">
      <c r="A16834" s="9" t="str">
        <f>HYPERLINK("http://www.eatonpowersource.com/products/configure/pumps/details/421ak00031c","421AK00031C")</f>
        <v>421AK00031C</v>
      </c>
      <c r="B16834" s="10" t="s">
        <v>15719</v>
      </c>
    </row>
    <row r="16835" spans="1:2" x14ac:dyDescent="0.3">
      <c r="A16835" s="7" t="str">
        <f>HYPERLINK("http://www.eatonpowersource.com/products/configure/pumps/details/421ak00033c","421AK00033C")</f>
        <v>421AK00033C</v>
      </c>
      <c r="B16835" s="8" t="s">
        <v>15720</v>
      </c>
    </row>
    <row r="16836" spans="1:2" x14ac:dyDescent="0.3">
      <c r="A16836" s="9" t="str">
        <f>HYPERLINK("http://www.eatonpowersource.com/products/configure/pumps/details/421ak00034c","421AK00034C")</f>
        <v>421AK00034C</v>
      </c>
      <c r="B16836" s="10" t="s">
        <v>15721</v>
      </c>
    </row>
    <row r="16837" spans="1:2" x14ac:dyDescent="0.3">
      <c r="A16837" s="7" t="str">
        <f>HYPERLINK("http://www.eatonpowersource.com/products/configure/pumps/details/421ak00035c","421AK00035C")</f>
        <v>421AK00035C</v>
      </c>
      <c r="B16837" s="8" t="s">
        <v>15722</v>
      </c>
    </row>
    <row r="16838" spans="1:2" x14ac:dyDescent="0.3">
      <c r="A16838" s="9" t="str">
        <f>HYPERLINK("http://www.eatonpowersource.com/products/configure/pumps/details/421ak00055c","421AK00055C")</f>
        <v>421AK00055C</v>
      </c>
      <c r="B16838" s="10" t="s">
        <v>15723</v>
      </c>
    </row>
    <row r="16839" spans="1:2" x14ac:dyDescent="0.3">
      <c r="A16839" s="7" t="str">
        <f>HYPERLINK("http://www.eatonpowersource.com/products/configure/pumps/details/421ak00074c","421AK00074C")</f>
        <v>421AK00074C</v>
      </c>
      <c r="B16839" s="8" t="s">
        <v>15724</v>
      </c>
    </row>
    <row r="16840" spans="1:2" x14ac:dyDescent="0.3">
      <c r="A16840" s="9" t="str">
        <f>HYPERLINK("http://www.eatonpowersource.com/products/configure/pumps/details/421ak00076c","421AK00076C")</f>
        <v>421AK00076C</v>
      </c>
      <c r="B16840" s="10" t="s">
        <v>15725</v>
      </c>
    </row>
    <row r="16841" spans="1:2" x14ac:dyDescent="0.3">
      <c r="A16841" s="7" t="str">
        <f>HYPERLINK("http://www.eatonpowersource.com/products/configure/pumps/details/421ak00089c","421AK00089C")</f>
        <v>421AK00089C</v>
      </c>
      <c r="B16841" s="8" t="s">
        <v>15726</v>
      </c>
    </row>
    <row r="16842" spans="1:2" x14ac:dyDescent="0.3">
      <c r="A16842" s="9" t="str">
        <f>HYPERLINK("http://www.eatonpowersource.com/products/configure/pumps/details/421ak00091c","421AK00091C")</f>
        <v>421AK00091C</v>
      </c>
      <c r="B16842" s="10" t="s">
        <v>15727</v>
      </c>
    </row>
    <row r="16843" spans="1:2" x14ac:dyDescent="0.3">
      <c r="A16843" s="7" t="str">
        <f>HYPERLINK("http://www.eatonpowersource.com/products/configure/pumps/details/421ak00126c","421AK00126C")</f>
        <v>421AK00126C</v>
      </c>
      <c r="B16843" s="8" t="s">
        <v>15728</v>
      </c>
    </row>
    <row r="16844" spans="1:2" x14ac:dyDescent="0.3">
      <c r="A16844" s="9" t="str">
        <f>HYPERLINK("http://www.eatonpowersource.com/products/configure/pumps/details/421ak00129c","421AK00129C")</f>
        <v>421AK00129C</v>
      </c>
      <c r="B16844" s="10" t="s">
        <v>15729</v>
      </c>
    </row>
    <row r="16845" spans="1:2" x14ac:dyDescent="0.3">
      <c r="A16845" s="7" t="str">
        <f>HYPERLINK("http://www.eatonpowersource.com/products/configure/pumps/details/421ak00142c","421AK00142C")</f>
        <v>421AK00142C</v>
      </c>
      <c r="B16845" s="8" t="s">
        <v>15730</v>
      </c>
    </row>
    <row r="16846" spans="1:2" x14ac:dyDescent="0.3">
      <c r="A16846" s="9" t="str">
        <f>HYPERLINK("http://www.eatonpowersource.com/products/configure/pumps/details/421ak00170c","421AK00170C")</f>
        <v>421AK00170C</v>
      </c>
      <c r="B16846" s="10" t="s">
        <v>15731</v>
      </c>
    </row>
    <row r="16847" spans="1:2" x14ac:dyDescent="0.3">
      <c r="A16847" s="7" t="str">
        <f>HYPERLINK("http://www.eatonpowersource.com/products/configure/pumps/details/421ak00183c","421AK00183C")</f>
        <v>421AK00183C</v>
      </c>
      <c r="B16847" s="8" t="s">
        <v>15732</v>
      </c>
    </row>
    <row r="16848" spans="1:2" x14ac:dyDescent="0.3">
      <c r="A16848" s="9" t="str">
        <f>HYPERLINK("http://www.eatonpowersource.com/products/configure/pumps/details/421ak00194c","421AK00194C")</f>
        <v>421AK00194C</v>
      </c>
      <c r="B16848" s="10" t="s">
        <v>15733</v>
      </c>
    </row>
    <row r="16849" spans="1:2" x14ac:dyDescent="0.3">
      <c r="A16849" s="7" t="str">
        <f>HYPERLINK("http://www.eatonpowersource.com/products/configure/pumps/details/421ak00197c","421AK00197C")</f>
        <v>421AK00197C</v>
      </c>
      <c r="B16849" s="8" t="s">
        <v>15734</v>
      </c>
    </row>
    <row r="16850" spans="1:2" x14ac:dyDescent="0.3">
      <c r="A16850" s="9" t="str">
        <f>HYPERLINK("http://www.eatonpowersource.com/products/configure/pumps/details/421ak00198c","421AK00198C")</f>
        <v>421AK00198C</v>
      </c>
      <c r="B16850" s="10" t="s">
        <v>15735</v>
      </c>
    </row>
    <row r="16851" spans="1:2" x14ac:dyDescent="0.3">
      <c r="A16851" s="7" t="str">
        <f>HYPERLINK("http://www.eatonpowersource.com/products/configure/pumps/details/421ak00200c","421AK00200C")</f>
        <v>421AK00200C</v>
      </c>
      <c r="B16851" s="8" t="s">
        <v>15736</v>
      </c>
    </row>
    <row r="16852" spans="1:2" x14ac:dyDescent="0.3">
      <c r="A16852" s="9" t="str">
        <f>HYPERLINK("http://www.eatonpowersource.com/products/configure/pumps/details/421ak00216c","421AK00216C")</f>
        <v>421AK00216C</v>
      </c>
      <c r="B16852" s="10" t="s">
        <v>15737</v>
      </c>
    </row>
    <row r="16853" spans="1:2" x14ac:dyDescent="0.3">
      <c r="A16853" s="7" t="str">
        <f>HYPERLINK("http://www.eatonpowersource.com/products/configure/pumps/details/421ak00229c","421AK00229C")</f>
        <v>421AK00229C</v>
      </c>
      <c r="B16853" s="8" t="s">
        <v>15738</v>
      </c>
    </row>
    <row r="16854" spans="1:2" x14ac:dyDescent="0.3">
      <c r="A16854" s="9" t="str">
        <f>HYPERLINK("http://www.eatonpowersource.com/products/configure/pumps/details/421ak00249c","421AK00249C")</f>
        <v>421AK00249C</v>
      </c>
      <c r="B16854" s="10" t="s">
        <v>15739</v>
      </c>
    </row>
    <row r="16855" spans="1:2" x14ac:dyDescent="0.3">
      <c r="A16855" s="7" t="str">
        <f>HYPERLINK("http://www.eatonpowersource.com/products/configure/pumps/details/421ak00252c","421AK00252C")</f>
        <v>421AK00252C</v>
      </c>
      <c r="B16855" s="8" t="s">
        <v>15740</v>
      </c>
    </row>
    <row r="16856" spans="1:2" x14ac:dyDescent="0.3">
      <c r="A16856" s="9" t="str">
        <f>HYPERLINK("http://www.eatonpowersource.com/products/configure/pumps/details/421ak00253c","421AK00253C")</f>
        <v>421AK00253C</v>
      </c>
      <c r="B16856" s="10" t="s">
        <v>15741</v>
      </c>
    </row>
    <row r="16857" spans="1:2" x14ac:dyDescent="0.3">
      <c r="A16857" s="7" t="str">
        <f>HYPERLINK("http://www.eatonpowersource.com/products/configure/pumps/details/421ak00256c","421AK00256C")</f>
        <v>421AK00256C</v>
      </c>
      <c r="B16857" s="8" t="s">
        <v>15742</v>
      </c>
    </row>
    <row r="16858" spans="1:2" x14ac:dyDescent="0.3">
      <c r="A16858" s="9" t="str">
        <f>HYPERLINK("http://www.eatonpowersource.com/products/configure/pumps/details/421ak00263c","421AK00263C")</f>
        <v>421AK00263C</v>
      </c>
      <c r="B16858" s="10" t="s">
        <v>15743</v>
      </c>
    </row>
    <row r="16859" spans="1:2" x14ac:dyDescent="0.3">
      <c r="A16859" s="7" t="str">
        <f>HYPERLINK("http://www.eatonpowersource.com/products/configure/pumps/details/421ak00267c","421AK00267C")</f>
        <v>421AK00267C</v>
      </c>
      <c r="B16859" s="8" t="s">
        <v>15744</v>
      </c>
    </row>
    <row r="16860" spans="1:2" x14ac:dyDescent="0.3">
      <c r="A16860" s="9" t="str">
        <f>HYPERLINK("http://www.eatonpowersource.com/products/configure/pumps/details/421ak00294c","421AK00294C")</f>
        <v>421AK00294C</v>
      </c>
      <c r="B16860" s="10" t="s">
        <v>15745</v>
      </c>
    </row>
    <row r="16861" spans="1:2" x14ac:dyDescent="0.3">
      <c r="A16861" s="7" t="str">
        <f>HYPERLINK("http://www.eatonpowersource.com/products/configure/pumps/details/421ak00295c","421AK00295C")</f>
        <v>421AK00295C</v>
      </c>
      <c r="B16861" s="8" t="s">
        <v>15746</v>
      </c>
    </row>
    <row r="16862" spans="1:2" x14ac:dyDescent="0.3">
      <c r="A16862" s="9" t="str">
        <f>HYPERLINK("http://www.eatonpowersource.com/products/configure/pumps/details/421ak00296c","421AK00296C")</f>
        <v>421AK00296C</v>
      </c>
      <c r="B16862" s="10" t="s">
        <v>15747</v>
      </c>
    </row>
    <row r="16863" spans="1:2" x14ac:dyDescent="0.3">
      <c r="A16863" s="7" t="str">
        <f>HYPERLINK("http://www.eatonpowersource.com/products/configure/pumps/details/421ak00300c","421AK00300C")</f>
        <v>421AK00300C</v>
      </c>
      <c r="B16863" s="8" t="s">
        <v>15748</v>
      </c>
    </row>
    <row r="16864" spans="1:2" x14ac:dyDescent="0.3">
      <c r="A16864" s="9" t="str">
        <f>HYPERLINK("http://www.eatonpowersource.com/products/configure/pumps/details/421ak00301c","421AK00301C")</f>
        <v>421AK00301C</v>
      </c>
      <c r="B16864" s="10" t="s">
        <v>15749</v>
      </c>
    </row>
    <row r="16865" spans="1:2" x14ac:dyDescent="0.3">
      <c r="A16865" s="7" t="str">
        <f>HYPERLINK("http://www.eatonpowersource.com/products/configure/pumps/details/421ak00310c","421AK00310C")</f>
        <v>421AK00310C</v>
      </c>
      <c r="B16865" s="8" t="s">
        <v>15750</v>
      </c>
    </row>
    <row r="16866" spans="1:2" x14ac:dyDescent="0.3">
      <c r="A16866" s="9" t="str">
        <f>HYPERLINK("http://www.eatonpowersource.com/products/configure/pumps/details/421ak00325c","421AK00325C")</f>
        <v>421AK00325C</v>
      </c>
      <c r="B16866" s="10" t="s">
        <v>15751</v>
      </c>
    </row>
    <row r="16867" spans="1:2" x14ac:dyDescent="0.3">
      <c r="A16867" s="7" t="str">
        <f>HYPERLINK("http://www.eatonpowersource.com/products/configure/pumps/details/421ak00358c","421AK00358C")</f>
        <v>421AK00358C</v>
      </c>
      <c r="B16867" s="8" t="s">
        <v>15752</v>
      </c>
    </row>
    <row r="16868" spans="1:2" x14ac:dyDescent="0.3">
      <c r="A16868" s="9" t="str">
        <f>HYPERLINK("http://www.eatonpowersource.com/products/configure/pumps/details/421ak00367c","421AK00367C")</f>
        <v>421AK00367C</v>
      </c>
      <c r="B16868" s="10" t="s">
        <v>15753</v>
      </c>
    </row>
    <row r="16869" spans="1:2" x14ac:dyDescent="0.3">
      <c r="A16869" s="7" t="str">
        <f>HYPERLINK("http://www.eatonpowersource.com/products/configure/pumps/details/421ak00391c","421AK00391C")</f>
        <v>421AK00391C</v>
      </c>
      <c r="B16869" s="8" t="s">
        <v>15754</v>
      </c>
    </row>
    <row r="16870" spans="1:2" x14ac:dyDescent="0.3">
      <c r="A16870" s="9" t="str">
        <f>HYPERLINK("http://www.eatonpowersource.com/products/configure/pumps/details/421ak00392c","421AK00392C")</f>
        <v>421AK00392C</v>
      </c>
      <c r="B16870" s="10" t="s">
        <v>15755</v>
      </c>
    </row>
    <row r="16871" spans="1:2" x14ac:dyDescent="0.3">
      <c r="A16871" s="7" t="str">
        <f>HYPERLINK("http://www.eatonpowersource.com/products/configure/pumps/details/421ak00404c","421AK00404C")</f>
        <v>421AK00404C</v>
      </c>
      <c r="B16871" s="8" t="s">
        <v>15756</v>
      </c>
    </row>
    <row r="16872" spans="1:2" x14ac:dyDescent="0.3">
      <c r="A16872" s="9" t="str">
        <f>HYPERLINK("http://www.eatonpowersource.com/products/configure/pumps/details/421ak00425c","421AK00425C")</f>
        <v>421AK00425C</v>
      </c>
      <c r="B16872" s="10" t="s">
        <v>15757</v>
      </c>
    </row>
    <row r="16873" spans="1:2" x14ac:dyDescent="0.3">
      <c r="A16873" s="7" t="str">
        <f>HYPERLINK("http://www.eatonpowersource.com/products/configure/pumps/details/421ak00445c","421AK00445C")</f>
        <v>421AK00445C</v>
      </c>
      <c r="B16873" s="8" t="s">
        <v>15758</v>
      </c>
    </row>
    <row r="16874" spans="1:2" x14ac:dyDescent="0.3">
      <c r="A16874" s="9" t="str">
        <f>HYPERLINK("http://www.eatonpowersource.com/products/configure/pumps/details/421ak00533c","421AK00533C")</f>
        <v>421AK00533C</v>
      </c>
      <c r="B16874" s="10" t="s">
        <v>15759</v>
      </c>
    </row>
    <row r="16875" spans="1:2" x14ac:dyDescent="0.3">
      <c r="A16875" s="7" t="str">
        <f>HYPERLINK("http://www.eatonpowersource.com/products/configure/pumps/details/421ak00553c","421AK00553C")</f>
        <v>421AK00553C</v>
      </c>
      <c r="B16875" s="8" t="s">
        <v>15760</v>
      </c>
    </row>
    <row r="16876" spans="1:2" x14ac:dyDescent="0.3">
      <c r="A16876" s="9" t="str">
        <f>HYPERLINK("http://www.eatonpowersource.com/products/configure/pumps/details/421ak00593c","421AK00593C")</f>
        <v>421AK00593C</v>
      </c>
      <c r="B16876" s="10" t="s">
        <v>15761</v>
      </c>
    </row>
    <row r="16877" spans="1:2" x14ac:dyDescent="0.3">
      <c r="A16877" s="7" t="str">
        <f>HYPERLINK("http://www.eatonpowersource.com/products/configure/pumps/details/421ak00595c","421AK00595C")</f>
        <v>421AK00595C</v>
      </c>
      <c r="B16877" s="8" t="s">
        <v>15762</v>
      </c>
    </row>
    <row r="16878" spans="1:2" x14ac:dyDescent="0.3">
      <c r="A16878" s="9" t="str">
        <f>HYPERLINK("http://www.eatonpowersource.com/products/configure/pumps/details/421ak00598c","421AK00598C")</f>
        <v>421AK00598C</v>
      </c>
      <c r="B16878" s="10" t="s">
        <v>15763</v>
      </c>
    </row>
    <row r="16879" spans="1:2" x14ac:dyDescent="0.3">
      <c r="A16879" s="7" t="str">
        <f>HYPERLINK("http://www.eatonpowersource.com/products/configure/pumps/details/421ak00608c","421AK00608C")</f>
        <v>421AK00608C</v>
      </c>
      <c r="B16879" s="8" t="s">
        <v>15764</v>
      </c>
    </row>
    <row r="16880" spans="1:2" x14ac:dyDescent="0.3">
      <c r="A16880" s="9" t="str">
        <f>HYPERLINK("http://www.eatonpowersource.com/products/configure/pumps/details/421ak00660c","421AK00660C")</f>
        <v>421AK00660C</v>
      </c>
      <c r="B16880" s="10" t="s">
        <v>15765</v>
      </c>
    </row>
    <row r="16881" spans="1:2" x14ac:dyDescent="0.3">
      <c r="A16881" s="7" t="str">
        <f>HYPERLINK("http://www.eatonpowersource.com/products/configure/pumps/details/421ak00669c","421AK00669C")</f>
        <v>421AK00669C</v>
      </c>
      <c r="B16881" s="8" t="s">
        <v>15766</v>
      </c>
    </row>
    <row r="16882" spans="1:2" x14ac:dyDescent="0.3">
      <c r="A16882" s="9" t="str">
        <f>HYPERLINK("http://www.eatonpowersource.com/products/configure/pumps/details/421ak00670c","421AK00670C")</f>
        <v>421AK00670C</v>
      </c>
      <c r="B16882" s="10" t="s">
        <v>15767</v>
      </c>
    </row>
    <row r="16883" spans="1:2" x14ac:dyDescent="0.3">
      <c r="A16883" s="7" t="str">
        <f>HYPERLINK("http://www.eatonpowersource.com/products/configure/pumps/details/421ak00691c","421AK00691C")</f>
        <v>421AK00691C</v>
      </c>
      <c r="B16883" s="8" t="s">
        <v>15768</v>
      </c>
    </row>
    <row r="16884" spans="1:2" x14ac:dyDescent="0.3">
      <c r="A16884" s="9" t="str">
        <f>HYPERLINK("http://www.eatonpowersource.com/products/configure/pumps/details/421ak00697c","421AK00697C")</f>
        <v>421AK00697C</v>
      </c>
      <c r="B16884" s="10" t="s">
        <v>15769</v>
      </c>
    </row>
    <row r="16885" spans="1:2" x14ac:dyDescent="0.3">
      <c r="A16885" s="7" t="str">
        <f>HYPERLINK("http://www.eatonpowersource.com/products/configure/pumps/details/421ak00744c","421AK00744C")</f>
        <v>421AK00744C</v>
      </c>
      <c r="B16885" s="8" t="s">
        <v>15770</v>
      </c>
    </row>
    <row r="16886" spans="1:2" x14ac:dyDescent="0.3">
      <c r="A16886" s="9" t="str">
        <f>HYPERLINK("http://www.eatonpowersource.com/products/configure/pumps/details/421ak00766c","421AK00766C")</f>
        <v>421AK00766C</v>
      </c>
      <c r="B16886" s="10" t="s">
        <v>15771</v>
      </c>
    </row>
    <row r="16887" spans="1:2" x14ac:dyDescent="0.3">
      <c r="A16887" s="7" t="str">
        <f>HYPERLINK("http://www.eatonpowersource.com/products/configure/pumps/details/421ak00796c","421AK00796C")</f>
        <v>421AK00796C</v>
      </c>
      <c r="B16887" s="8" t="s">
        <v>15772</v>
      </c>
    </row>
    <row r="16888" spans="1:2" x14ac:dyDescent="0.3">
      <c r="A16888" s="9" t="str">
        <f>HYPERLINK("http://www.eatonpowersource.com/products/configure/pumps/details/421ak00807c","421AK00807C")</f>
        <v>421AK00807C</v>
      </c>
      <c r="B16888" s="10" t="s">
        <v>15773</v>
      </c>
    </row>
    <row r="16889" spans="1:2" x14ac:dyDescent="0.3">
      <c r="A16889" s="7" t="str">
        <f>HYPERLINK("http://www.eatonpowersource.com/products/configure/pumps/details/421ak00823c","421AK00823C")</f>
        <v>421AK00823C</v>
      </c>
      <c r="B16889" s="8" t="s">
        <v>15774</v>
      </c>
    </row>
    <row r="16890" spans="1:2" x14ac:dyDescent="0.3">
      <c r="A16890" s="9" t="str">
        <f>HYPERLINK("http://www.eatonpowersource.com/products/configure/pumps/details/421ak00847c","421AK00847C")</f>
        <v>421AK00847C</v>
      </c>
      <c r="B16890" s="10" t="s">
        <v>15775</v>
      </c>
    </row>
    <row r="16891" spans="1:2" x14ac:dyDescent="0.3">
      <c r="A16891" s="7" t="str">
        <f>HYPERLINK("http://www.eatonpowersource.com/products/configure/pumps/details/421ak00895c","421AK00895C")</f>
        <v>421AK00895C</v>
      </c>
      <c r="B16891" s="8" t="s">
        <v>15776</v>
      </c>
    </row>
    <row r="16892" spans="1:2" x14ac:dyDescent="0.3">
      <c r="A16892" s="9" t="str">
        <f>HYPERLINK("http://www.eatonpowersource.com/products/configure/pumps/details/421ak00903c","421AK00903C")</f>
        <v>421AK00903C</v>
      </c>
      <c r="B16892" s="10" t="s">
        <v>15777</v>
      </c>
    </row>
    <row r="16893" spans="1:2" x14ac:dyDescent="0.3">
      <c r="A16893" s="7" t="str">
        <f>HYPERLINK("http://www.eatonpowersource.com/products/configure/pumps/details/421ak00915c","421AK00915C")</f>
        <v>421AK00915C</v>
      </c>
      <c r="B16893" s="8" t="s">
        <v>15778</v>
      </c>
    </row>
    <row r="16894" spans="1:2" x14ac:dyDescent="0.3">
      <c r="A16894" s="9" t="str">
        <f>HYPERLINK("http://www.eatonpowersource.com/products/configure/pumps/details/421ak00933c","421AK00933C")</f>
        <v>421AK00933C</v>
      </c>
      <c r="B16894" s="10" t="s">
        <v>15779</v>
      </c>
    </row>
    <row r="16895" spans="1:2" x14ac:dyDescent="0.3">
      <c r="A16895" s="7" t="str">
        <f>HYPERLINK("http://www.eatonpowersource.com/products/configure/pumps/details/421ak00955c","421AK00955C")</f>
        <v>421AK00955C</v>
      </c>
      <c r="B16895" s="8" t="s">
        <v>15780</v>
      </c>
    </row>
    <row r="16896" spans="1:2" x14ac:dyDescent="0.3">
      <c r="A16896" s="9" t="str">
        <f>HYPERLINK("http://www.eatonpowersource.com/products/configure/pumps/details/421ak00962c","421AK00962C")</f>
        <v>421AK00962C</v>
      </c>
      <c r="B16896" s="10" t="s">
        <v>15781</v>
      </c>
    </row>
    <row r="16897" spans="1:2" x14ac:dyDescent="0.3">
      <c r="A16897" s="7" t="str">
        <f>HYPERLINK("http://www.eatonpowersource.com/products/configure/pumps/details/421ak00976c","421AK00976C")</f>
        <v>421AK00976C</v>
      </c>
      <c r="B16897" s="8" t="s">
        <v>15782</v>
      </c>
    </row>
    <row r="16898" spans="1:2" x14ac:dyDescent="0.3">
      <c r="A16898" s="9" t="str">
        <f>HYPERLINK("http://www.eatonpowersource.com/products/configure/pumps/details/421ak00980c","421AK00980C")</f>
        <v>421AK00980C</v>
      </c>
      <c r="B16898" s="10" t="s">
        <v>15783</v>
      </c>
    </row>
    <row r="16899" spans="1:2" x14ac:dyDescent="0.3">
      <c r="A16899" s="7" t="str">
        <f>HYPERLINK("http://www.eatonpowersource.com/products/configure/pumps/details/421ak01004c","421AK01004C")</f>
        <v>421AK01004C</v>
      </c>
      <c r="B16899" s="8" t="s">
        <v>15784</v>
      </c>
    </row>
    <row r="16900" spans="1:2" x14ac:dyDescent="0.3">
      <c r="A16900" s="9" t="str">
        <f>HYPERLINK("http://www.eatonpowersource.com/products/configure/pumps/details/421ak01005c","421AK01005C")</f>
        <v>421AK01005C</v>
      </c>
      <c r="B16900" s="10" t="s">
        <v>15785</v>
      </c>
    </row>
    <row r="16901" spans="1:2" x14ac:dyDescent="0.3">
      <c r="A16901" s="7" t="str">
        <f>HYPERLINK("http://www.eatonpowersource.com/products/configure/pumps/details/421ak01055c","421AK01055C")</f>
        <v>421AK01055C</v>
      </c>
      <c r="B16901" s="8" t="s">
        <v>15786</v>
      </c>
    </row>
    <row r="16902" spans="1:2" x14ac:dyDescent="0.3">
      <c r="A16902" s="9" t="str">
        <f>HYPERLINK("http://www.eatonpowersource.com/products/configure/pumps/details/421ak01057c","421AK01057C")</f>
        <v>421AK01057C</v>
      </c>
      <c r="B16902" s="10" t="s">
        <v>15787</v>
      </c>
    </row>
    <row r="16903" spans="1:2" x14ac:dyDescent="0.3">
      <c r="A16903" s="7" t="str">
        <f>HYPERLINK("http://www.eatonpowersource.com/products/configure/pumps/details/421ak01058c","421AK01058C")</f>
        <v>421AK01058C</v>
      </c>
      <c r="B16903" s="8" t="s">
        <v>15788</v>
      </c>
    </row>
    <row r="16904" spans="1:2" x14ac:dyDescent="0.3">
      <c r="A16904" s="9" t="str">
        <f>HYPERLINK("http://www.eatonpowersource.com/products/configure/pumps/details/421ak01061c","421AK01061C")</f>
        <v>421AK01061C</v>
      </c>
      <c r="B16904" s="10" t="s">
        <v>15789</v>
      </c>
    </row>
    <row r="16905" spans="1:2" x14ac:dyDescent="0.3">
      <c r="A16905" s="7" t="str">
        <f>HYPERLINK("http://www.eatonpowersource.com/products/configure/pumps/details/421ak01074c","421AK01074C")</f>
        <v>421AK01074C</v>
      </c>
      <c r="B16905" s="8" t="s">
        <v>15790</v>
      </c>
    </row>
    <row r="16906" spans="1:2" x14ac:dyDescent="0.3">
      <c r="A16906" s="9" t="str">
        <f>HYPERLINK("http://www.eatonpowersource.com/products/configure/pumps/details/421ak01077c","421AK01077C")</f>
        <v>421AK01077C</v>
      </c>
      <c r="B16906" s="10" t="s">
        <v>15791</v>
      </c>
    </row>
    <row r="16907" spans="1:2" x14ac:dyDescent="0.3">
      <c r="A16907" s="7" t="str">
        <f>HYPERLINK("http://www.eatonpowersource.com/products/configure/pumps/details/421ak01081c","421AK01081C")</f>
        <v>421AK01081C</v>
      </c>
      <c r="B16907" s="8" t="s">
        <v>15792</v>
      </c>
    </row>
    <row r="16908" spans="1:2" x14ac:dyDescent="0.3">
      <c r="A16908" s="9" t="str">
        <f>HYPERLINK("http://www.eatonpowersource.com/products/configure/pumps/details/421ak01088c","421AK01088C")</f>
        <v>421AK01088C</v>
      </c>
      <c r="B16908" s="10" t="s">
        <v>15793</v>
      </c>
    </row>
    <row r="16909" spans="1:2" x14ac:dyDescent="0.3">
      <c r="A16909" s="7" t="str">
        <f>HYPERLINK("http://www.eatonpowersource.com/products/configure/pumps/details/421ak01108c","421AK01108C")</f>
        <v>421AK01108C</v>
      </c>
      <c r="B16909" s="8" t="s">
        <v>15794</v>
      </c>
    </row>
    <row r="16910" spans="1:2" x14ac:dyDescent="0.3">
      <c r="A16910" s="9" t="str">
        <f>HYPERLINK("http://www.eatonpowersource.com/products/configure/pumps/details/421ak01129c","421AK01129C")</f>
        <v>421AK01129C</v>
      </c>
      <c r="B16910" s="10" t="s">
        <v>15795</v>
      </c>
    </row>
    <row r="16911" spans="1:2" x14ac:dyDescent="0.3">
      <c r="A16911" s="7" t="str">
        <f>HYPERLINK("http://www.eatonpowersource.com/products/configure/pumps/details/421ak01152c","421AK01152C")</f>
        <v>421AK01152C</v>
      </c>
      <c r="B16911" s="8" t="s">
        <v>15796</v>
      </c>
    </row>
    <row r="16912" spans="1:2" x14ac:dyDescent="0.3">
      <c r="A16912" s="9" t="str">
        <f>HYPERLINK("http://www.eatonpowersource.com/products/configure/pumps/details/421ak01177c","421AK01177C")</f>
        <v>421AK01177C</v>
      </c>
      <c r="B16912" s="10" t="s">
        <v>15797</v>
      </c>
    </row>
    <row r="16913" spans="1:2" x14ac:dyDescent="0.3">
      <c r="A16913" s="7" t="str">
        <f>HYPERLINK("http://www.eatonpowersource.com/products/configure/pumps/details/421ak01190c","421AK01190C")</f>
        <v>421AK01190C</v>
      </c>
      <c r="B16913" s="8" t="s">
        <v>15798</v>
      </c>
    </row>
    <row r="16914" spans="1:2" x14ac:dyDescent="0.3">
      <c r="A16914" s="9" t="str">
        <f>HYPERLINK("http://www.eatonpowersource.com/products/configure/pumps/details/421ak01205c","421AK01205C")</f>
        <v>421AK01205C</v>
      </c>
      <c r="B16914" s="10" t="s">
        <v>15799</v>
      </c>
    </row>
    <row r="16915" spans="1:2" x14ac:dyDescent="0.3">
      <c r="A16915" s="7" t="str">
        <f>HYPERLINK("http://www.eatonpowersource.com/products/configure/pumps/details/421ak01222c","421AK01222C")</f>
        <v>421AK01222C</v>
      </c>
      <c r="B16915" s="8" t="s">
        <v>15800</v>
      </c>
    </row>
    <row r="16916" spans="1:2" x14ac:dyDescent="0.3">
      <c r="A16916" s="9" t="str">
        <f>HYPERLINK("http://www.eatonpowersource.com/products/configure/pumps/details/421ak01231c","421AK01231C")</f>
        <v>421AK01231C</v>
      </c>
      <c r="B16916" s="10" t="s">
        <v>15801</v>
      </c>
    </row>
    <row r="16917" spans="1:2" x14ac:dyDescent="0.3">
      <c r="A16917" s="7" t="str">
        <f>HYPERLINK("http://www.eatonpowersource.com/products/configure/pumps/details/421ak01277c","421AK01277C")</f>
        <v>421AK01277C</v>
      </c>
      <c r="B16917" s="8" t="s">
        <v>15802</v>
      </c>
    </row>
    <row r="16918" spans="1:2" x14ac:dyDescent="0.3">
      <c r="A16918" s="9" t="str">
        <f>HYPERLINK("http://www.eatonpowersource.com/products/configure/pumps/details/421ak01294c","421AK01294C")</f>
        <v>421AK01294C</v>
      </c>
      <c r="B16918" s="10" t="s">
        <v>15803</v>
      </c>
    </row>
    <row r="16919" spans="1:2" x14ac:dyDescent="0.3">
      <c r="A16919" s="7" t="str">
        <f>HYPERLINK("http://www.eatonpowersource.com/products/configure/pumps/details/421ak01358c","421AK01358C")</f>
        <v>421AK01358C</v>
      </c>
      <c r="B16919" s="8" t="s">
        <v>15804</v>
      </c>
    </row>
    <row r="16920" spans="1:2" x14ac:dyDescent="0.3">
      <c r="A16920" s="9" t="str">
        <f>HYPERLINK("http://www.eatonpowersource.com/products/configure/pumps/details/421ak01362c","421AK01362C")</f>
        <v>421AK01362C</v>
      </c>
      <c r="B16920" s="10" t="s">
        <v>15805</v>
      </c>
    </row>
    <row r="16921" spans="1:2" x14ac:dyDescent="0.3">
      <c r="A16921" s="7" t="str">
        <f>HYPERLINK("http://www.eatonpowersource.com/products/configure/pumps/details/421ak01387c","421AK01387C")</f>
        <v>421AK01387C</v>
      </c>
      <c r="B16921" s="8" t="s">
        <v>15806</v>
      </c>
    </row>
    <row r="16922" spans="1:2" x14ac:dyDescent="0.3">
      <c r="A16922" s="9" t="str">
        <f>HYPERLINK("http://www.eatonpowersource.com/products/configure/pumps/details/421ak01415c","421AK01415C")</f>
        <v>421AK01415C</v>
      </c>
      <c r="B16922" s="10" t="s">
        <v>15807</v>
      </c>
    </row>
    <row r="16923" spans="1:2" x14ac:dyDescent="0.3">
      <c r="A16923" s="7" t="str">
        <f>HYPERLINK("http://www.eatonpowersource.com/products/configure/pumps/details/421ak01455c","421AK01455C")</f>
        <v>421AK01455C</v>
      </c>
      <c r="B16923" s="8" t="s">
        <v>15808</v>
      </c>
    </row>
    <row r="16924" spans="1:2" x14ac:dyDescent="0.3">
      <c r="A16924" s="9" t="str">
        <f>HYPERLINK("http://www.eatonpowersource.com/products/configure/pumps/details/421ak01485c","421AK01485C")</f>
        <v>421AK01485C</v>
      </c>
      <c r="B16924" s="10" t="s">
        <v>15809</v>
      </c>
    </row>
    <row r="16925" spans="1:2" x14ac:dyDescent="0.3">
      <c r="A16925" s="7" t="str">
        <f>HYPERLINK("http://www.eatonpowersource.com/products/configure/pumps/details/421ak01522c","421AK01522C")</f>
        <v>421AK01522C</v>
      </c>
      <c r="B16925" s="8" t="s">
        <v>15810</v>
      </c>
    </row>
    <row r="16926" spans="1:2" x14ac:dyDescent="0.3">
      <c r="A16926" s="9" t="str">
        <f>HYPERLINK("http://www.eatonpowersource.com/products/configure/pumps/details/421ak01578c","421AK01578C")</f>
        <v>421AK01578C</v>
      </c>
      <c r="B16926" s="10" t="s">
        <v>15811</v>
      </c>
    </row>
    <row r="16927" spans="1:2" x14ac:dyDescent="0.3">
      <c r="A16927" s="7" t="str">
        <f>HYPERLINK("http://www.eatonpowersource.com/products/configure/pumps/details/421ak01595c","421AK01595C")</f>
        <v>421AK01595C</v>
      </c>
      <c r="B16927" s="8" t="s">
        <v>15812</v>
      </c>
    </row>
    <row r="16928" spans="1:2" x14ac:dyDescent="0.3">
      <c r="A16928" s="9" t="str">
        <f>HYPERLINK("http://www.eatonpowersource.com/products/configure/pumps/details/421ak01607c","421AK01607C")</f>
        <v>421AK01607C</v>
      </c>
      <c r="B16928" s="10" t="s">
        <v>15813</v>
      </c>
    </row>
    <row r="16929" spans="1:2" x14ac:dyDescent="0.3">
      <c r="A16929" s="7" t="str">
        <f>HYPERLINK("http://www.eatonpowersource.com/products/configure/pumps/details/421ak01659c","421AK01659C")</f>
        <v>421AK01659C</v>
      </c>
      <c r="B16929" s="8" t="s">
        <v>15814</v>
      </c>
    </row>
    <row r="16930" spans="1:2" x14ac:dyDescent="0.3">
      <c r="A16930" s="9" t="str">
        <f>HYPERLINK("http://www.eatonpowersource.com/products/configure/pumps/details/421ak01670c","421AK01670C")</f>
        <v>421AK01670C</v>
      </c>
      <c r="B16930" s="10" t="s">
        <v>15815</v>
      </c>
    </row>
    <row r="16931" spans="1:2" x14ac:dyDescent="0.3">
      <c r="A16931" s="7" t="str">
        <f>HYPERLINK("http://www.eatonpowersource.com/products/configure/pumps/details/421ak01676c","421AK01676C")</f>
        <v>421AK01676C</v>
      </c>
      <c r="B16931" s="8" t="s">
        <v>15816</v>
      </c>
    </row>
    <row r="16932" spans="1:2" x14ac:dyDescent="0.3">
      <c r="A16932" s="9" t="str">
        <f>HYPERLINK("http://www.eatonpowersource.com/products/configure/pumps/details/421ak01745c","421AK01745C")</f>
        <v>421AK01745C</v>
      </c>
      <c r="B16932" s="10" t="s">
        <v>15817</v>
      </c>
    </row>
    <row r="16933" spans="1:2" x14ac:dyDescent="0.3">
      <c r="A16933" s="7" t="str">
        <f>HYPERLINK("http://www.eatonpowersource.com/products/configure/pumps/details/421ak01748c","421AK01748C")</f>
        <v>421AK01748C</v>
      </c>
      <c r="B16933" s="8" t="s">
        <v>15818</v>
      </c>
    </row>
    <row r="16934" spans="1:2" x14ac:dyDescent="0.3">
      <c r="A16934" s="9" t="str">
        <f>HYPERLINK("http://www.eatonpowersource.com/products/configure/pumps/details/421ak01855c","421AK01855C")</f>
        <v>421AK01855C</v>
      </c>
      <c r="B16934" s="10" t="s">
        <v>15819</v>
      </c>
    </row>
    <row r="16935" spans="1:2" x14ac:dyDescent="0.3">
      <c r="A16935" s="7" t="str">
        <f>HYPERLINK("http://www.eatonpowersource.com/products/configure/pumps/details/421ak01866c","421AK01866C")</f>
        <v>421AK01866C</v>
      </c>
      <c r="B16935" s="8" t="s">
        <v>15820</v>
      </c>
    </row>
    <row r="16936" spans="1:2" x14ac:dyDescent="0.3">
      <c r="A16936" s="9" t="str">
        <f>HYPERLINK("http://www.eatonpowersource.com/products/configure/pumps/details/421ak01874c","421AK01874C")</f>
        <v>421AK01874C</v>
      </c>
      <c r="B16936" s="10" t="s">
        <v>15821</v>
      </c>
    </row>
    <row r="16937" spans="1:2" x14ac:dyDescent="0.3">
      <c r="A16937" s="7" t="str">
        <f>HYPERLINK("http://www.eatonpowersource.com/products/configure/pumps/details/421ak01891c","421AK01891C")</f>
        <v>421AK01891C</v>
      </c>
      <c r="B16937" s="8" t="s">
        <v>15822</v>
      </c>
    </row>
    <row r="16938" spans="1:2" x14ac:dyDescent="0.3">
      <c r="A16938" s="9" t="str">
        <f>HYPERLINK("http://www.eatonpowersource.com/products/configure/pumps/details/421ak01905c","421AK01905C")</f>
        <v>421AK01905C</v>
      </c>
      <c r="B16938" s="10" t="s">
        <v>15823</v>
      </c>
    </row>
    <row r="16939" spans="1:2" x14ac:dyDescent="0.3">
      <c r="A16939" s="7" t="str">
        <f>HYPERLINK("http://www.eatonpowersource.com/products/configure/pumps/details/421ak01913c","421AK01913C")</f>
        <v>421AK01913C</v>
      </c>
      <c r="B16939" s="8" t="s">
        <v>15824</v>
      </c>
    </row>
    <row r="16940" spans="1:2" x14ac:dyDescent="0.3">
      <c r="A16940" s="9" t="str">
        <f>HYPERLINK("http://www.eatonpowersource.com/products/configure/pumps/details/421ak01931c","421AK01931C")</f>
        <v>421AK01931C</v>
      </c>
      <c r="B16940" s="10" t="s">
        <v>15825</v>
      </c>
    </row>
    <row r="16941" spans="1:2" x14ac:dyDescent="0.3">
      <c r="A16941" s="7" t="str">
        <f>HYPERLINK("http://www.eatonpowersource.com/products/configure/pumps/details/421ak01935c","421AK01935C")</f>
        <v>421AK01935C</v>
      </c>
      <c r="B16941" s="8" t="s">
        <v>15826</v>
      </c>
    </row>
    <row r="16942" spans="1:2" x14ac:dyDescent="0.3">
      <c r="A16942" s="9" t="str">
        <f>HYPERLINK("http://www.eatonpowersource.com/products/configure/pumps/details/421ak01941c","421AK01941C")</f>
        <v>421AK01941C</v>
      </c>
      <c r="B16942" s="10" t="s">
        <v>15827</v>
      </c>
    </row>
    <row r="16943" spans="1:2" x14ac:dyDescent="0.3">
      <c r="A16943" s="7" t="str">
        <f>HYPERLINK("http://www.eatonpowersource.com/products/configure/pumps/details/421ak01954c","421AK01954C")</f>
        <v>421AK01954C</v>
      </c>
      <c r="B16943" s="8" t="s">
        <v>15828</v>
      </c>
    </row>
    <row r="16944" spans="1:2" x14ac:dyDescent="0.3">
      <c r="A16944" s="9" t="str">
        <f>HYPERLINK("http://www.eatonpowersource.com/products/configure/pumps/details/421ak01976c","421AK01976C")</f>
        <v>421AK01976C</v>
      </c>
      <c r="B16944" s="10" t="s">
        <v>15829</v>
      </c>
    </row>
    <row r="16945" spans="1:2" x14ac:dyDescent="0.3">
      <c r="A16945" s="7" t="str">
        <f>HYPERLINK("http://www.eatonpowersource.com/products/configure/pumps/details/421ak01981c","421AK01981C")</f>
        <v>421AK01981C</v>
      </c>
      <c r="B16945" s="8" t="s">
        <v>15830</v>
      </c>
    </row>
    <row r="16946" spans="1:2" x14ac:dyDescent="0.3">
      <c r="A16946" s="9" t="str">
        <f>HYPERLINK("http://www.eatonpowersource.com/products/configure/pumps/details/421ak01994c","421AK01994C")</f>
        <v>421AK01994C</v>
      </c>
      <c r="B16946" s="10" t="s">
        <v>15831</v>
      </c>
    </row>
    <row r="16947" spans="1:2" x14ac:dyDescent="0.3">
      <c r="A16947" s="7" t="str">
        <f>HYPERLINK("http://www.eatonpowersource.com/products/configure/pumps/details/421ak02044c","421AK02044C")</f>
        <v>421AK02044C</v>
      </c>
      <c r="B16947" s="8" t="s">
        <v>15832</v>
      </c>
    </row>
    <row r="16948" spans="1:2" x14ac:dyDescent="0.3">
      <c r="A16948" s="9" t="str">
        <f>HYPERLINK("http://www.eatonpowersource.com/products/configure/pumps/details/421ak02049c","421AK02049C")</f>
        <v>421AK02049C</v>
      </c>
      <c r="B16948" s="10" t="s">
        <v>15833</v>
      </c>
    </row>
    <row r="16949" spans="1:2" x14ac:dyDescent="0.3">
      <c r="A16949" s="7" t="str">
        <f>HYPERLINK("http://www.eatonpowersource.com/products/configure/pumps/details/421ak02056c","421AK02056C")</f>
        <v>421AK02056C</v>
      </c>
      <c r="B16949" s="8" t="s">
        <v>15834</v>
      </c>
    </row>
    <row r="16950" spans="1:2" x14ac:dyDescent="0.3">
      <c r="A16950" s="9" t="str">
        <f>HYPERLINK("http://www.eatonpowersource.com/products/configure/pumps/details/421ak02057c","421AK02057C")</f>
        <v>421AK02057C</v>
      </c>
      <c r="B16950" s="10" t="s">
        <v>15835</v>
      </c>
    </row>
    <row r="16951" spans="1:2" x14ac:dyDescent="0.3">
      <c r="A16951" s="7" t="str">
        <f>HYPERLINK("http://www.eatonpowersource.com/products/configure/pumps/details/421ak02063c","421AK02063C")</f>
        <v>421AK02063C</v>
      </c>
      <c r="B16951" s="8" t="s">
        <v>15836</v>
      </c>
    </row>
    <row r="16952" spans="1:2" x14ac:dyDescent="0.3">
      <c r="A16952" s="9" t="str">
        <f>HYPERLINK("http://www.eatonpowersource.com/products/configure/pumps/details/421ak02076c","421AK02076C")</f>
        <v>421AK02076C</v>
      </c>
      <c r="B16952" s="10" t="s">
        <v>15837</v>
      </c>
    </row>
    <row r="16953" spans="1:2" x14ac:dyDescent="0.3">
      <c r="A16953" s="7" t="str">
        <f>HYPERLINK("http://www.eatonpowersource.com/products/configure/pumps/details/421ak02125c","421AK02125C")</f>
        <v>421AK02125C</v>
      </c>
      <c r="B16953" s="8" t="s">
        <v>15838</v>
      </c>
    </row>
    <row r="16954" spans="1:2" x14ac:dyDescent="0.3">
      <c r="A16954" s="9" t="str">
        <f>HYPERLINK("http://www.eatonpowersource.com/products/configure/pumps/details/421ak02128c","421AK02128C")</f>
        <v>421AK02128C</v>
      </c>
      <c r="B16954" s="10" t="s">
        <v>15839</v>
      </c>
    </row>
    <row r="16955" spans="1:2" x14ac:dyDescent="0.3">
      <c r="A16955" s="7" t="str">
        <f>HYPERLINK("http://www.eatonpowersource.com/products/configure/pumps/details/421ak02151c","421AK02151C")</f>
        <v>421AK02151C</v>
      </c>
      <c r="B16955" s="8" t="s">
        <v>15840</v>
      </c>
    </row>
    <row r="16956" spans="1:2" x14ac:dyDescent="0.3">
      <c r="A16956" s="9" t="str">
        <f>HYPERLINK("http://www.eatonpowersource.com/products/configure/pumps/details/421ak02152c","421AK02152C")</f>
        <v>421AK02152C</v>
      </c>
      <c r="B16956" s="10" t="s">
        <v>15841</v>
      </c>
    </row>
    <row r="16957" spans="1:2" x14ac:dyDescent="0.3">
      <c r="A16957" s="7" t="str">
        <f>HYPERLINK("http://www.eatonpowersource.com/products/configure/pumps/details/421ak02175c","421AK02175C")</f>
        <v>421AK02175C</v>
      </c>
      <c r="B16957" s="8" t="s">
        <v>15842</v>
      </c>
    </row>
    <row r="16958" spans="1:2" x14ac:dyDescent="0.3">
      <c r="A16958" s="9" t="str">
        <f>HYPERLINK("http://www.eatonpowersource.com/products/configure/pumps/details/421ak02186c","421AK02186C")</f>
        <v>421AK02186C</v>
      </c>
      <c r="B16958" s="10" t="s">
        <v>15843</v>
      </c>
    </row>
    <row r="16959" spans="1:2" x14ac:dyDescent="0.3">
      <c r="A16959" s="7" t="str">
        <f>HYPERLINK("http://www.eatonpowersource.com/products/configure/pumps/details/421ak02250c","421AK02250C")</f>
        <v>421AK02250C</v>
      </c>
      <c r="B16959" s="8" t="s">
        <v>15844</v>
      </c>
    </row>
    <row r="16960" spans="1:2" x14ac:dyDescent="0.3">
      <c r="A16960" s="9" t="str">
        <f>HYPERLINK("http://www.eatonpowersource.com/products/configure/pumps/details/421ak02291c","421AK02291C")</f>
        <v>421AK02291C</v>
      </c>
      <c r="B16960" s="10" t="s">
        <v>15845</v>
      </c>
    </row>
    <row r="16961" spans="1:2" x14ac:dyDescent="0.3">
      <c r="A16961" s="7" t="str">
        <f>HYPERLINK("http://www.eatonpowersource.com/products/configure/pumps/details/421ak02300c","421AK02300C")</f>
        <v>421AK02300C</v>
      </c>
      <c r="B16961" s="8" t="s">
        <v>15846</v>
      </c>
    </row>
    <row r="16962" spans="1:2" x14ac:dyDescent="0.3">
      <c r="A16962" s="9" t="str">
        <f>HYPERLINK("http://www.eatonpowersource.com/products/configure/pumps/details/421ak02303c","421AK02303C")</f>
        <v>421AK02303C</v>
      </c>
      <c r="B16962" s="10" t="s">
        <v>15847</v>
      </c>
    </row>
    <row r="16963" spans="1:2" x14ac:dyDescent="0.3">
      <c r="A16963" s="7" t="str">
        <f>HYPERLINK("http://www.eatonpowersource.com/products/configure/pumps/details/421ak02306c","421AK02306C")</f>
        <v>421AK02306C</v>
      </c>
      <c r="B16963" s="8" t="s">
        <v>15848</v>
      </c>
    </row>
    <row r="16964" spans="1:2" x14ac:dyDescent="0.3">
      <c r="A16964" s="9" t="str">
        <f>HYPERLINK("http://www.eatonpowersource.com/products/configure/pumps/details/421ak02307c","421AK02307C")</f>
        <v>421AK02307C</v>
      </c>
      <c r="B16964" s="10" t="s">
        <v>15849</v>
      </c>
    </row>
    <row r="16965" spans="1:2" x14ac:dyDescent="0.3">
      <c r="A16965" s="7" t="str">
        <f>HYPERLINK("http://www.eatonpowersource.com/products/configure/pumps/details/421ak02317c","421AK02317C")</f>
        <v>421AK02317C</v>
      </c>
      <c r="B16965" s="8" t="s">
        <v>15850</v>
      </c>
    </row>
    <row r="16966" spans="1:2" x14ac:dyDescent="0.3">
      <c r="A16966" s="9" t="str">
        <f>HYPERLINK("http://www.eatonpowersource.com/products/configure/pumps/details/421ak02320c","421AK02320C")</f>
        <v>421AK02320C</v>
      </c>
      <c r="B16966" s="10" t="s">
        <v>15851</v>
      </c>
    </row>
    <row r="16967" spans="1:2" x14ac:dyDescent="0.3">
      <c r="A16967" s="7" t="str">
        <f>HYPERLINK("http://www.eatonpowersource.com/products/configure/pumps/details/421ak02321c","421AK02321C")</f>
        <v>421AK02321C</v>
      </c>
      <c r="B16967" s="8" t="s">
        <v>15852</v>
      </c>
    </row>
    <row r="16968" spans="1:2" x14ac:dyDescent="0.3">
      <c r="A16968" s="9" t="str">
        <f>HYPERLINK("http://www.eatonpowersource.com/products/configure/pumps/details/421ak02322c","421AK02322C")</f>
        <v>421AK02322C</v>
      </c>
      <c r="B16968" s="10" t="s">
        <v>15853</v>
      </c>
    </row>
    <row r="16969" spans="1:2" x14ac:dyDescent="0.3">
      <c r="A16969" s="7" t="str">
        <f>HYPERLINK("http://www.eatonpowersource.com/products/configure/pumps/details/421ak02323c","421AK02323C")</f>
        <v>421AK02323C</v>
      </c>
      <c r="B16969" s="8" t="s">
        <v>15854</v>
      </c>
    </row>
    <row r="16970" spans="1:2" x14ac:dyDescent="0.3">
      <c r="A16970" s="9" t="str">
        <f>HYPERLINK("http://www.eatonpowersource.com/products/configure/pumps/details/421ak02325c","421AK02325C")</f>
        <v>421AK02325C</v>
      </c>
      <c r="B16970" s="10" t="s">
        <v>15855</v>
      </c>
    </row>
    <row r="16971" spans="1:2" x14ac:dyDescent="0.3">
      <c r="A16971" s="7" t="str">
        <f>HYPERLINK("http://www.eatonpowersource.com/products/configure/pumps/details/421ak02326c","421AK02326C")</f>
        <v>421AK02326C</v>
      </c>
      <c r="B16971" s="8" t="s">
        <v>15856</v>
      </c>
    </row>
    <row r="16972" spans="1:2" x14ac:dyDescent="0.3">
      <c r="A16972" s="9" t="str">
        <f>HYPERLINK("http://www.eatonpowersource.com/products/configure/pumps/details/421ak02345c","421AK02345C")</f>
        <v>421AK02345C</v>
      </c>
      <c r="B16972" s="10" t="s">
        <v>15857</v>
      </c>
    </row>
    <row r="16973" spans="1:2" x14ac:dyDescent="0.3">
      <c r="A16973" s="7" t="str">
        <f>HYPERLINK("http://www.eatonpowersource.com/products/configure/pumps/details/421ak02346c","421AK02346C")</f>
        <v>421AK02346C</v>
      </c>
      <c r="B16973" s="8" t="s">
        <v>15858</v>
      </c>
    </row>
    <row r="16974" spans="1:2" x14ac:dyDescent="0.3">
      <c r="A16974" s="9" t="str">
        <f>HYPERLINK("http://www.eatonpowersource.com/products/configure/pumps/details/421ak02347c","421AK02347C")</f>
        <v>421AK02347C</v>
      </c>
      <c r="B16974" s="10" t="s">
        <v>15859</v>
      </c>
    </row>
    <row r="16975" spans="1:2" x14ac:dyDescent="0.3">
      <c r="A16975" s="7" t="str">
        <f>HYPERLINK("http://www.eatonpowersource.com/products/configure/pumps/details/421ak02353c","421AK02353C")</f>
        <v>421AK02353C</v>
      </c>
      <c r="B16975" s="8" t="s">
        <v>15860</v>
      </c>
    </row>
    <row r="16976" spans="1:2" x14ac:dyDescent="0.3">
      <c r="A16976" s="9" t="str">
        <f>HYPERLINK("http://www.eatonpowersource.com/products/configure/pumps/details/421ak02355c","421AK02355C")</f>
        <v>421AK02355C</v>
      </c>
      <c r="B16976" s="10" t="s">
        <v>15861</v>
      </c>
    </row>
    <row r="16977" spans="1:2" x14ac:dyDescent="0.3">
      <c r="A16977" s="7" t="str">
        <f>HYPERLINK("http://www.eatonpowersource.com/products/configure/pumps/details/421ak02360c","421AK02360C")</f>
        <v>421AK02360C</v>
      </c>
      <c r="B16977" s="8" t="s">
        <v>15862</v>
      </c>
    </row>
    <row r="16978" spans="1:2" x14ac:dyDescent="0.3">
      <c r="A16978" s="9" t="str">
        <f>HYPERLINK("http://www.eatonpowersource.com/products/configure/pumps/details/421ak02361c","421AK02361C")</f>
        <v>421AK02361C</v>
      </c>
      <c r="B16978" s="10" t="s">
        <v>15863</v>
      </c>
    </row>
    <row r="16979" spans="1:2" x14ac:dyDescent="0.3">
      <c r="A16979" s="7" t="str">
        <f>HYPERLINK("http://www.eatonpowersource.com/products/configure/pumps/details/421ak02362c","421AK02362C")</f>
        <v>421AK02362C</v>
      </c>
      <c r="B16979" s="8" t="s">
        <v>15864</v>
      </c>
    </row>
    <row r="16980" spans="1:2" x14ac:dyDescent="0.3">
      <c r="A16980" s="9" t="str">
        <f>HYPERLINK("http://www.eatonpowersource.com/products/configure/pumps/details/421ak02364c","421AK02364C")</f>
        <v>421AK02364C</v>
      </c>
      <c r="B16980" s="10" t="s">
        <v>15865</v>
      </c>
    </row>
    <row r="16981" spans="1:2" x14ac:dyDescent="0.3">
      <c r="A16981" s="7" t="str">
        <f>HYPERLINK("http://www.eatonpowersource.com/products/configure/pumps/details/421ak02368c","421AK02368C")</f>
        <v>421AK02368C</v>
      </c>
      <c r="B16981" s="8" t="s">
        <v>15866</v>
      </c>
    </row>
    <row r="16982" spans="1:2" x14ac:dyDescent="0.3">
      <c r="A16982" s="9" t="str">
        <f>HYPERLINK("http://www.eatonpowersource.com/products/configure/pumps/details/421ak02369c","421AK02369C")</f>
        <v>421AK02369C</v>
      </c>
      <c r="B16982" s="10" t="s">
        <v>15867</v>
      </c>
    </row>
    <row r="16983" spans="1:2" x14ac:dyDescent="0.3">
      <c r="A16983" s="7" t="str">
        <f>HYPERLINK("http://www.eatonpowersource.com/products/configure/pumps/details/421ak02370c","421AK02370C")</f>
        <v>421AK02370C</v>
      </c>
      <c r="B16983" s="8" t="s">
        <v>15868</v>
      </c>
    </row>
    <row r="16984" spans="1:2" x14ac:dyDescent="0.3">
      <c r="A16984" s="9" t="str">
        <f>HYPERLINK("http://www.eatonpowersource.com/products/configure/pumps/details/421ak02381c","421AK02381C")</f>
        <v>421AK02381C</v>
      </c>
      <c r="B16984" s="10" t="s">
        <v>15869</v>
      </c>
    </row>
    <row r="16985" spans="1:2" x14ac:dyDescent="0.3">
      <c r="A16985" s="7" t="str">
        <f>HYPERLINK("http://www.eatonpowersource.com/products/configure/pumps/details/421ak02389c","421AK02389C")</f>
        <v>421AK02389C</v>
      </c>
      <c r="B16985" s="8" t="s">
        <v>15870</v>
      </c>
    </row>
    <row r="16986" spans="1:2" x14ac:dyDescent="0.3">
      <c r="A16986" s="9" t="str">
        <f>HYPERLINK("http://www.eatonpowersource.com/products/configure/pumps/details/421ak02412c","421AK02412C")</f>
        <v>421AK02412C</v>
      </c>
      <c r="B16986" s="10" t="s">
        <v>15871</v>
      </c>
    </row>
    <row r="16987" spans="1:2" x14ac:dyDescent="0.3">
      <c r="A16987" s="7" t="str">
        <f>HYPERLINK("http://www.eatonpowersource.com/products/configure/pumps/details/421ak02415c","421AK02415C")</f>
        <v>421AK02415C</v>
      </c>
      <c r="B16987" s="8" t="s">
        <v>15872</v>
      </c>
    </row>
    <row r="16988" spans="1:2" x14ac:dyDescent="0.3">
      <c r="A16988" s="9" t="str">
        <f>HYPERLINK("http://www.eatonpowersource.com/products/configure/pumps/details/421ak02416c","421AK02416C")</f>
        <v>421AK02416C</v>
      </c>
      <c r="B16988" s="10" t="s">
        <v>15873</v>
      </c>
    </row>
    <row r="16989" spans="1:2" x14ac:dyDescent="0.3">
      <c r="A16989" s="7" t="str">
        <f>HYPERLINK("http://www.eatonpowersource.com/products/configure/pumps/details/421ak02417c","421AK02417C")</f>
        <v>421AK02417C</v>
      </c>
      <c r="B16989" s="8" t="s">
        <v>15874</v>
      </c>
    </row>
    <row r="16990" spans="1:2" x14ac:dyDescent="0.3">
      <c r="A16990" s="9" t="str">
        <f>HYPERLINK("http://www.eatonpowersource.com/products/configure/pumps/details/421ak02418c","421AK02418C")</f>
        <v>421AK02418C</v>
      </c>
      <c r="B16990" s="10" t="s">
        <v>15875</v>
      </c>
    </row>
    <row r="16991" spans="1:2" x14ac:dyDescent="0.3">
      <c r="A16991" s="7" t="str">
        <f>HYPERLINK("http://www.eatonpowersource.com/products/configure/pumps/details/421ak02420c","421AK02420C")</f>
        <v>421AK02420C</v>
      </c>
      <c r="B16991" s="8" t="s">
        <v>15876</v>
      </c>
    </row>
    <row r="16992" spans="1:2" x14ac:dyDescent="0.3">
      <c r="A16992" s="9" t="str">
        <f>HYPERLINK("http://www.eatonpowersource.com/products/configure/pumps/details/421ak02422c","421AK02422C")</f>
        <v>421AK02422C</v>
      </c>
      <c r="B16992" s="10" t="s">
        <v>15877</v>
      </c>
    </row>
    <row r="16993" spans="1:2" x14ac:dyDescent="0.3">
      <c r="A16993" s="7" t="str">
        <f>HYPERLINK("http://www.eatonpowersource.com/products/configure/pumps/details/421ak02431c","421AK02431C")</f>
        <v>421AK02431C</v>
      </c>
      <c r="B16993" s="8" t="s">
        <v>15878</v>
      </c>
    </row>
    <row r="16994" spans="1:2" x14ac:dyDescent="0.3">
      <c r="A16994" s="9" t="str">
        <f>HYPERLINK("http://www.eatonpowersource.com/products/configure/pumps/details/421ak02433c","421AK02433C")</f>
        <v>421AK02433C</v>
      </c>
      <c r="B16994" s="10" t="s">
        <v>15879</v>
      </c>
    </row>
    <row r="16995" spans="1:2" x14ac:dyDescent="0.3">
      <c r="A16995" s="7" t="str">
        <f>HYPERLINK("http://www.eatonpowersource.com/products/configure/pumps/details/421ak02459c","421AK02459C")</f>
        <v>421AK02459C</v>
      </c>
      <c r="B16995" s="8" t="s">
        <v>15880</v>
      </c>
    </row>
    <row r="16996" spans="1:2" x14ac:dyDescent="0.3">
      <c r="A16996" s="9" t="str">
        <f>HYPERLINK("http://www.eatonpowersource.com/products/configure/pumps/details/421ak02484c","421AK02484C")</f>
        <v>421AK02484C</v>
      </c>
      <c r="B16996" s="10" t="s">
        <v>15881</v>
      </c>
    </row>
    <row r="16997" spans="1:2" x14ac:dyDescent="0.3">
      <c r="A16997" s="7" t="str">
        <f>HYPERLINK("http://www.eatonpowersource.com/products/configure/pumps/details/421ak02502c","421AK02502C")</f>
        <v>421AK02502C</v>
      </c>
      <c r="B16997" s="8" t="s">
        <v>15882</v>
      </c>
    </row>
    <row r="16998" spans="1:2" x14ac:dyDescent="0.3">
      <c r="A16998" s="9" t="str">
        <f>HYPERLINK("http://www.eatonpowersource.com/products/configure/pumps/details/421ak02503c","421AK02503C")</f>
        <v>421AK02503C</v>
      </c>
      <c r="B16998" s="10" t="s">
        <v>15883</v>
      </c>
    </row>
    <row r="16999" spans="1:2" x14ac:dyDescent="0.3">
      <c r="A16999" s="7" t="str">
        <f>HYPERLINK("http://www.eatonpowersource.com/products/configure/pumps/details/421ak02511c","421AK02511C")</f>
        <v>421AK02511C</v>
      </c>
      <c r="B16999" s="8" t="s">
        <v>15884</v>
      </c>
    </row>
    <row r="17000" spans="1:2" x14ac:dyDescent="0.3">
      <c r="A17000" s="9" t="str">
        <f>HYPERLINK("http://www.eatonpowersource.com/products/configure/pumps/details/421ak02516c","421AK02516C")</f>
        <v>421AK02516C</v>
      </c>
      <c r="B17000" s="10" t="s">
        <v>15885</v>
      </c>
    </row>
    <row r="17001" spans="1:2" x14ac:dyDescent="0.3">
      <c r="A17001" s="7" t="str">
        <f>HYPERLINK("http://www.eatonpowersource.com/products/configure/pumps/details/421ak02517c","421AK02517C")</f>
        <v>421AK02517C</v>
      </c>
      <c r="B17001" s="8" t="s">
        <v>15886</v>
      </c>
    </row>
    <row r="17002" spans="1:2" x14ac:dyDescent="0.3">
      <c r="A17002" s="9" t="str">
        <f>HYPERLINK("http://www.eatonpowersource.com/products/configure/pumps/details/421ak02518c","421AK02518C")</f>
        <v>421AK02518C</v>
      </c>
      <c r="B17002" s="10" t="s">
        <v>15887</v>
      </c>
    </row>
    <row r="17003" spans="1:2" x14ac:dyDescent="0.3">
      <c r="A17003" s="7" t="str">
        <f>HYPERLINK("http://www.eatonpowersource.com/products/configure/pumps/details/421ak02527c","421AK02527C")</f>
        <v>421AK02527C</v>
      </c>
      <c r="B17003" s="8" t="s">
        <v>15888</v>
      </c>
    </row>
    <row r="17004" spans="1:2" x14ac:dyDescent="0.3">
      <c r="A17004" s="9" t="str">
        <f>HYPERLINK("http://www.eatonpowersource.com/products/configure/pumps/details/421ak02533c","421AK02533C")</f>
        <v>421AK02533C</v>
      </c>
      <c r="B17004" s="10" t="s">
        <v>15889</v>
      </c>
    </row>
    <row r="17005" spans="1:2" x14ac:dyDescent="0.3">
      <c r="A17005" s="7" t="str">
        <f>HYPERLINK("http://www.eatonpowersource.com/products/configure/pumps/details/421ak02534c","421AK02534C")</f>
        <v>421AK02534C</v>
      </c>
      <c r="B17005" s="8" t="s">
        <v>15890</v>
      </c>
    </row>
    <row r="17006" spans="1:2" x14ac:dyDescent="0.3">
      <c r="A17006" s="9" t="str">
        <f>HYPERLINK("http://www.eatonpowersource.com/products/configure/pumps/details/421ak02535c","421AK02535C")</f>
        <v>421AK02535C</v>
      </c>
      <c r="B17006" s="10" t="s">
        <v>15891</v>
      </c>
    </row>
    <row r="17007" spans="1:2" x14ac:dyDescent="0.3">
      <c r="A17007" s="7" t="str">
        <f>HYPERLINK("http://www.eatonpowersource.com/products/configure/pumps/details/4997177-007","4997177-007")</f>
        <v>4997177-007</v>
      </c>
      <c r="B17007" s="8" t="s">
        <v>15892</v>
      </c>
    </row>
    <row r="17008" spans="1:2" x14ac:dyDescent="0.3">
      <c r="A17008" s="9" t="str">
        <f>HYPERLINK("http://www.eatonpowersource.com/products/configure/pumps/details/5987377-001","5987377-001")</f>
        <v>5987377-001</v>
      </c>
      <c r="B17008" s="10" t="s">
        <v>15893</v>
      </c>
    </row>
    <row r="17009" spans="1:2" x14ac:dyDescent="0.3">
      <c r="A17009" s="7" t="str">
        <f>HYPERLINK("http://www.eatonpowersource.com/products/configure/pumps/details/6024980-001","6024980-001")</f>
        <v>6024980-001</v>
      </c>
      <c r="B17009" s="8" t="s">
        <v>15894</v>
      </c>
    </row>
    <row r="17010" spans="1:2" x14ac:dyDescent="0.3">
      <c r="A17010" s="9" t="str">
        <f>HYPERLINK("http://www.eatonpowersource.com/products/configure/pumps/details/6028263-001","6028263-001")</f>
        <v>6028263-001</v>
      </c>
      <c r="B17010" s="10" t="s">
        <v>15895</v>
      </c>
    </row>
    <row r="17011" spans="1:2" x14ac:dyDescent="0.3">
      <c r="A17011" s="7" t="str">
        <f>HYPERLINK("http://www.eatonpowersource.com/products/configure/pumps/details/6028263-004","6028263-004")</f>
        <v>6028263-004</v>
      </c>
      <c r="B17011" s="8" t="s">
        <v>15896</v>
      </c>
    </row>
    <row r="17012" spans="1:2" x14ac:dyDescent="0.3">
      <c r="A17012" s="9" t="str">
        <f>HYPERLINK("http://www.eatonpowersource.com/products/configure/pumps/details/6028263-005","6028263-005")</f>
        <v>6028263-005</v>
      </c>
      <c r="B17012" s="10" t="s">
        <v>15897</v>
      </c>
    </row>
    <row r="17013" spans="1:2" x14ac:dyDescent="0.3">
      <c r="A17013" s="7" t="str">
        <f>HYPERLINK("http://www.eatonpowersource.com/products/configure/pumps/details/6037358-009","6037358-009")</f>
        <v>6037358-009</v>
      </c>
      <c r="B17013" s="8" t="s">
        <v>15898</v>
      </c>
    </row>
    <row r="17014" spans="1:2" x14ac:dyDescent="0.3">
      <c r="A17014" s="9" t="str">
        <f>HYPERLINK("http://www.eatonpowersource.com/products/configure/pumps/details/6037358-011","6037358-011")</f>
        <v>6037358-011</v>
      </c>
      <c r="B17014" s="10" t="s">
        <v>15898</v>
      </c>
    </row>
    <row r="17015" spans="1:2" x14ac:dyDescent="0.3">
      <c r="A17015" s="7" t="str">
        <f>HYPERLINK("http://www.eatonpowersource.com/products/configure/pumps/details/9900512-021","9900512-021")</f>
        <v>9900512-021</v>
      </c>
      <c r="B17015" s="8" t="s">
        <v>15899</v>
      </c>
    </row>
    <row r="17016" spans="1:2" x14ac:dyDescent="0.3">
      <c r="A17016" s="9" t="str">
        <f>HYPERLINK("http://www.eatonpowersource.com/products/configure/pumps/details/421ak02394c","421AK02394C")</f>
        <v>421AK02394C</v>
      </c>
      <c r="B17016" s="10" t="s">
        <v>15900</v>
      </c>
    </row>
    <row r="17017" spans="1:2" x14ac:dyDescent="0.3">
      <c r="A17017" s="7" t="str">
        <f>HYPERLINK("http://www.eatonpowersource.com/products/configure/pumps/details/622ak00025b","622AK00025B")</f>
        <v>622AK00025B</v>
      </c>
      <c r="B17017" s="8" t="s">
        <v>15901</v>
      </c>
    </row>
    <row r="17018" spans="1:2" x14ac:dyDescent="0.3">
      <c r="A17018" s="9" t="str">
        <f>HYPERLINK("http://www.eatonpowersource.com/products/configure/pumps/details/622ak00028b","622AK00028B")</f>
        <v>622AK00028B</v>
      </c>
      <c r="B17018" s="10" t="s">
        <v>15902</v>
      </c>
    </row>
    <row r="17019" spans="1:2" x14ac:dyDescent="0.3">
      <c r="A17019" s="7" t="str">
        <f>HYPERLINK("http://www.eatonpowersource.com/products/configure/pumps/details/622ak00036b","622AK00036B")</f>
        <v>622AK00036B</v>
      </c>
      <c r="B17019" s="8" t="s">
        <v>15903</v>
      </c>
    </row>
    <row r="17020" spans="1:2" x14ac:dyDescent="0.3">
      <c r="A17020" s="9" t="str">
        <f>HYPERLINK("http://www.eatonpowersource.com/products/configure/pumps/details/622ak00048b","622AK00048B")</f>
        <v>622AK00048B</v>
      </c>
      <c r="B17020" s="10" t="s">
        <v>15904</v>
      </c>
    </row>
    <row r="17021" spans="1:2" x14ac:dyDescent="0.3">
      <c r="A17021" s="7" t="str">
        <f>HYPERLINK("http://www.eatonpowersource.com/products/configure/pumps/details/622ak00049b","622AK00049B")</f>
        <v>622AK00049B</v>
      </c>
      <c r="B17021" s="8" t="s">
        <v>15905</v>
      </c>
    </row>
    <row r="17022" spans="1:2" x14ac:dyDescent="0.3">
      <c r="A17022" s="9" t="str">
        <f>HYPERLINK("http://www.eatonpowersource.com/products/configure/pumps/details/622ak00086b","622AK00086B")</f>
        <v>622AK00086B</v>
      </c>
      <c r="B17022" s="10" t="s">
        <v>15906</v>
      </c>
    </row>
    <row r="17023" spans="1:2" x14ac:dyDescent="0.3">
      <c r="A17023" s="7" t="str">
        <f>HYPERLINK("http://www.eatonpowersource.com/products/configure/pumps/details/622ak00087b","622AK00087B")</f>
        <v>622AK00087B</v>
      </c>
      <c r="B17023" s="8" t="s">
        <v>15907</v>
      </c>
    </row>
    <row r="17024" spans="1:2" x14ac:dyDescent="0.3">
      <c r="A17024" s="9" t="str">
        <f>HYPERLINK("http://www.eatonpowersource.com/products/configure/pumps/details/622ak00090b","622AK00090B")</f>
        <v>622AK00090B</v>
      </c>
      <c r="B17024" s="10" t="s">
        <v>15908</v>
      </c>
    </row>
    <row r="17025" spans="1:2" x14ac:dyDescent="0.3">
      <c r="A17025" s="7" t="str">
        <f>HYPERLINK("http://www.eatonpowersource.com/products/configure/pumps/details/622ak00098b","622AK00098B")</f>
        <v>622AK00098B</v>
      </c>
      <c r="B17025" s="8" t="s">
        <v>15909</v>
      </c>
    </row>
    <row r="17026" spans="1:2" x14ac:dyDescent="0.3">
      <c r="A17026" s="9" t="str">
        <f>HYPERLINK("http://www.eatonpowersource.com/products/configure/pumps/details/622ak00115b","622AK00115B")</f>
        <v>622AK00115B</v>
      </c>
      <c r="B17026" s="10" t="s">
        <v>15910</v>
      </c>
    </row>
    <row r="17027" spans="1:2" x14ac:dyDescent="0.3">
      <c r="A17027" s="7" t="str">
        <f>HYPERLINK("http://www.eatonpowersource.com/products/configure/pumps/details/622ak00123b","622AK00123B")</f>
        <v>622AK00123B</v>
      </c>
      <c r="B17027" s="8" t="s">
        <v>15911</v>
      </c>
    </row>
    <row r="17028" spans="1:2" x14ac:dyDescent="0.3">
      <c r="A17028" s="9" t="str">
        <f>HYPERLINK("http://www.eatonpowersource.com/products/configure/pumps/details/622ak00126b","622AK00126B")</f>
        <v>622AK00126B</v>
      </c>
      <c r="B17028" s="10" t="s">
        <v>15912</v>
      </c>
    </row>
    <row r="17029" spans="1:2" x14ac:dyDescent="0.3">
      <c r="A17029" s="7" t="str">
        <f>HYPERLINK("http://www.eatonpowersource.com/products/configure/pumps/details/622ak00127b","622AK00127B")</f>
        <v>622AK00127B</v>
      </c>
      <c r="B17029" s="8" t="s">
        <v>15913</v>
      </c>
    </row>
    <row r="17030" spans="1:2" x14ac:dyDescent="0.3">
      <c r="A17030" s="9" t="str">
        <f>HYPERLINK("http://www.eatonpowersource.com/products/configure/pumps/details/622ak00131b","622AK00131B")</f>
        <v>622AK00131B</v>
      </c>
      <c r="B17030" s="10" t="s">
        <v>15914</v>
      </c>
    </row>
    <row r="17031" spans="1:2" x14ac:dyDescent="0.3">
      <c r="A17031" s="7" t="str">
        <f>HYPERLINK("http://www.eatonpowersource.com/products/configure/pumps/details/622ak00132b","622AK00132B")</f>
        <v>622AK00132B</v>
      </c>
      <c r="B17031" s="8" t="s">
        <v>15915</v>
      </c>
    </row>
    <row r="17032" spans="1:2" x14ac:dyDescent="0.3">
      <c r="A17032" s="9" t="str">
        <f>HYPERLINK("http://www.eatonpowersource.com/products/configure/pumps/details/622ak00135b","622AK00135B")</f>
        <v>622AK00135B</v>
      </c>
      <c r="B17032" s="10" t="s">
        <v>15916</v>
      </c>
    </row>
    <row r="17033" spans="1:2" x14ac:dyDescent="0.3">
      <c r="A17033" s="7" t="str">
        <f>HYPERLINK("http://www.eatonpowersource.com/products/configure/pumps/details/622ak00137b","622AK00137B")</f>
        <v>622AK00137B</v>
      </c>
      <c r="B17033" s="8" t="s">
        <v>15917</v>
      </c>
    </row>
    <row r="17034" spans="1:2" x14ac:dyDescent="0.3">
      <c r="A17034" s="9" t="str">
        <f>HYPERLINK("http://www.eatonpowersource.com/products/configure/pumps/details/622ak00139b","622AK00139B")</f>
        <v>622AK00139B</v>
      </c>
      <c r="B17034" s="10" t="s">
        <v>15918</v>
      </c>
    </row>
    <row r="17035" spans="1:2" x14ac:dyDescent="0.3">
      <c r="A17035" s="7" t="str">
        <f>HYPERLINK("http://www.eatonpowersource.com/products/configure/pumps/details/622ak00140b","622AK00140B")</f>
        <v>622AK00140B</v>
      </c>
      <c r="B17035" s="8" t="s">
        <v>15919</v>
      </c>
    </row>
    <row r="17036" spans="1:2" x14ac:dyDescent="0.3">
      <c r="A17036" s="9" t="str">
        <f>HYPERLINK("http://www.eatonpowersource.com/products/configure/pumps/details/622ak00142b","622AK00142B")</f>
        <v>622AK00142B</v>
      </c>
      <c r="B17036" s="10" t="s">
        <v>15920</v>
      </c>
    </row>
    <row r="17037" spans="1:2" x14ac:dyDescent="0.3">
      <c r="A17037" s="7" t="str">
        <f>HYPERLINK("http://www.eatonpowersource.com/products/configure/pumps/details/622ak00145b","622AK00145B")</f>
        <v>622AK00145B</v>
      </c>
      <c r="B17037" s="8" t="s">
        <v>15921</v>
      </c>
    </row>
    <row r="17038" spans="1:2" x14ac:dyDescent="0.3">
      <c r="A17038" s="9" t="str">
        <f>HYPERLINK("http://www.eatonpowersource.com/products/configure/pumps/details/622ak00148b","622AK00148B")</f>
        <v>622AK00148B</v>
      </c>
      <c r="B17038" s="10" t="s">
        <v>15922</v>
      </c>
    </row>
    <row r="17039" spans="1:2" x14ac:dyDescent="0.3">
      <c r="A17039" s="7" t="str">
        <f>HYPERLINK("http://www.eatonpowersource.com/products/configure/pumps/details/622ak00157b","622AK00157B")</f>
        <v>622AK00157B</v>
      </c>
      <c r="B17039" s="8" t="s">
        <v>15923</v>
      </c>
    </row>
    <row r="17040" spans="1:2" x14ac:dyDescent="0.3">
      <c r="A17040" s="9" t="str">
        <f>HYPERLINK("http://www.eatonpowersource.com/products/configure/pumps/details/622ak00163b","622AK00163B")</f>
        <v>622AK00163B</v>
      </c>
      <c r="B17040" s="10" t="s">
        <v>15924</v>
      </c>
    </row>
    <row r="17041" spans="1:2" x14ac:dyDescent="0.3">
      <c r="A17041" s="7" t="str">
        <f>HYPERLINK("http://www.eatonpowersource.com/products/configure/pumps/details/622ak00165b","622AK00165B")</f>
        <v>622AK00165B</v>
      </c>
      <c r="B17041" s="8" t="s">
        <v>15925</v>
      </c>
    </row>
    <row r="17042" spans="1:2" x14ac:dyDescent="0.3">
      <c r="A17042" s="9" t="str">
        <f>HYPERLINK("http://www.eatonpowersource.com/products/configure/pumps/details/622ak00168b","622AK00168B")</f>
        <v>622AK00168B</v>
      </c>
      <c r="B17042" s="10" t="s">
        <v>15926</v>
      </c>
    </row>
    <row r="17043" spans="1:2" x14ac:dyDescent="0.3">
      <c r="A17043" s="7" t="str">
        <f>HYPERLINK("http://www.eatonpowersource.com/products/configure/pumps/details/622ak00211b","622AK00211B")</f>
        <v>622AK00211B</v>
      </c>
      <c r="B17043" s="8" t="s">
        <v>15927</v>
      </c>
    </row>
    <row r="17044" spans="1:2" x14ac:dyDescent="0.3">
      <c r="A17044" s="9" t="str">
        <f>HYPERLINK("http://www.eatonpowersource.com/products/configure/pumps/details/622ak00212b","622AK00212B")</f>
        <v>622AK00212B</v>
      </c>
      <c r="B17044" s="10" t="s">
        <v>15928</v>
      </c>
    </row>
    <row r="17045" spans="1:2" x14ac:dyDescent="0.3">
      <c r="A17045" s="7" t="str">
        <f>HYPERLINK("http://www.eatonpowersource.com/products/configure/pumps/details/622ak00213b","622AK00213B")</f>
        <v>622AK00213B</v>
      </c>
      <c r="B17045" s="8" t="s">
        <v>15929</v>
      </c>
    </row>
    <row r="17046" spans="1:2" x14ac:dyDescent="0.3">
      <c r="A17046" s="9" t="str">
        <f>HYPERLINK("http://www.eatonpowersource.com/products/configure/pumps/details/622ak00214b","622AK00214B")</f>
        <v>622AK00214B</v>
      </c>
      <c r="B17046" s="10" t="s">
        <v>15930</v>
      </c>
    </row>
    <row r="17047" spans="1:2" x14ac:dyDescent="0.3">
      <c r="A17047" s="7" t="str">
        <f>HYPERLINK("http://www.eatonpowersource.com/products/configure/pumps/details/622ak00215b","622AK00215B")</f>
        <v>622AK00215B</v>
      </c>
      <c r="B17047" s="8" t="s">
        <v>15931</v>
      </c>
    </row>
    <row r="17048" spans="1:2" x14ac:dyDescent="0.3">
      <c r="A17048" s="9" t="str">
        <f>HYPERLINK("http://www.eatonpowersource.com/products/configure/pumps/details/622ak00219b","622AK00219B")</f>
        <v>622AK00219B</v>
      </c>
      <c r="B17048" s="10" t="s">
        <v>15932</v>
      </c>
    </row>
    <row r="17049" spans="1:2" x14ac:dyDescent="0.3">
      <c r="A17049" s="7" t="str">
        <f>HYPERLINK("http://www.eatonpowersource.com/products/configure/pumps/details/622ak00220b","622AK00220B")</f>
        <v>622AK00220B</v>
      </c>
      <c r="B17049" s="8" t="s">
        <v>15933</v>
      </c>
    </row>
    <row r="17050" spans="1:2" x14ac:dyDescent="0.3">
      <c r="A17050" s="9" t="str">
        <f>HYPERLINK("http://www.eatonpowersource.com/products/configure/pumps/details/622ak00224b","622AK00224B")</f>
        <v>622AK00224B</v>
      </c>
      <c r="B17050" s="10" t="s">
        <v>15934</v>
      </c>
    </row>
    <row r="17051" spans="1:2" x14ac:dyDescent="0.3">
      <c r="A17051" s="7" t="str">
        <f>HYPERLINK("http://www.eatonpowersource.com/products/configure/pumps/details/622ak00225b","622AK00225B")</f>
        <v>622AK00225B</v>
      </c>
      <c r="B17051" s="8" t="s">
        <v>15935</v>
      </c>
    </row>
    <row r="17052" spans="1:2" x14ac:dyDescent="0.3">
      <c r="A17052" s="9" t="str">
        <f>HYPERLINK("http://www.eatonpowersource.com/products/configure/pumps/details/622ak00307b","622AK00307B")</f>
        <v>622AK00307B</v>
      </c>
      <c r="B17052" s="10" t="s">
        <v>15936</v>
      </c>
    </row>
    <row r="17053" spans="1:2" x14ac:dyDescent="0.3">
      <c r="A17053" s="7" t="str">
        <f>HYPERLINK("http://www.eatonpowersource.com/products/configure/pumps/details/622ak00308b","622AK00308B")</f>
        <v>622AK00308B</v>
      </c>
      <c r="B17053" s="8" t="s">
        <v>15937</v>
      </c>
    </row>
    <row r="17054" spans="1:2" x14ac:dyDescent="0.3">
      <c r="A17054" s="9" t="str">
        <f>HYPERLINK("http://www.eatonpowersource.com/products/configure/pumps/details/622ak00351b","622AK00351B")</f>
        <v>622AK00351B</v>
      </c>
      <c r="B17054" s="10" t="s">
        <v>15938</v>
      </c>
    </row>
    <row r="17055" spans="1:2" x14ac:dyDescent="0.3">
      <c r="A17055" s="7" t="str">
        <f>HYPERLINK("http://www.eatonpowersource.com/products/configure/pumps/details/622ak00352b","622AK00352B")</f>
        <v>622AK00352B</v>
      </c>
      <c r="B17055" s="8" t="s">
        <v>15939</v>
      </c>
    </row>
    <row r="17056" spans="1:2" x14ac:dyDescent="0.3">
      <c r="A17056" s="9" t="str">
        <f>HYPERLINK("http://www.eatonpowersource.com/products/configure/pumps/details/622ak00369b","622AK00369B")</f>
        <v>622AK00369B</v>
      </c>
      <c r="B17056" s="10" t="s">
        <v>15940</v>
      </c>
    </row>
    <row r="17057" spans="1:2" x14ac:dyDescent="0.3">
      <c r="A17057" s="7" t="str">
        <f>HYPERLINK("http://www.eatonpowersource.com/products/configure/pumps/details/622ak00370b","622AK00370B")</f>
        <v>622AK00370B</v>
      </c>
      <c r="B17057" s="8" t="s">
        <v>15941</v>
      </c>
    </row>
    <row r="17058" spans="1:2" x14ac:dyDescent="0.3">
      <c r="A17058" s="9" t="str">
        <f>HYPERLINK("http://www.eatonpowersource.com/products/configure/pumps/details/622ak00379b","622AK00379B")</f>
        <v>622AK00379B</v>
      </c>
      <c r="B17058" s="10" t="s">
        <v>15942</v>
      </c>
    </row>
    <row r="17059" spans="1:2" x14ac:dyDescent="0.3">
      <c r="A17059" s="7" t="str">
        <f>HYPERLINK("http://www.eatonpowersource.com/products/configure/pumps/details/622ak00392b","622AK00392B")</f>
        <v>622AK00392B</v>
      </c>
      <c r="B17059" s="8" t="s">
        <v>15943</v>
      </c>
    </row>
    <row r="17060" spans="1:2" x14ac:dyDescent="0.3">
      <c r="A17060" s="9" t="str">
        <f>HYPERLINK("http://www.eatonpowersource.com/products/configure/pumps/details/622ak00442b","622AK00442B")</f>
        <v>622AK00442B</v>
      </c>
      <c r="B17060" s="10" t="s">
        <v>15944</v>
      </c>
    </row>
    <row r="17061" spans="1:2" x14ac:dyDescent="0.3">
      <c r="A17061" s="7" t="str">
        <f>HYPERLINK("http://www.eatonpowersource.com/products/configure/pumps/details/622ak00483b","622AK00483B")</f>
        <v>622AK00483B</v>
      </c>
      <c r="B17061" s="8" t="s">
        <v>15945</v>
      </c>
    </row>
    <row r="17062" spans="1:2" x14ac:dyDescent="0.3">
      <c r="A17062" s="9" t="str">
        <f>HYPERLINK("http://www.eatonpowersource.com/products/configure/pumps/details/622ak00484b","622AK00484B")</f>
        <v>622AK00484B</v>
      </c>
      <c r="B17062" s="10" t="s">
        <v>15946</v>
      </c>
    </row>
    <row r="17063" spans="1:2" x14ac:dyDescent="0.3">
      <c r="A17063" s="7" t="str">
        <f>HYPERLINK("http://www.eatonpowersource.com/products/configure/pumps/details/622ak00485b","622AK00485B")</f>
        <v>622AK00485B</v>
      </c>
      <c r="B17063" s="8" t="s">
        <v>15947</v>
      </c>
    </row>
    <row r="17064" spans="1:2" x14ac:dyDescent="0.3">
      <c r="A17064" s="9" t="str">
        <f>HYPERLINK("http://www.eatonpowersource.com/products/configure/pumps/details/622ak00519b","622AK00519B")</f>
        <v>622AK00519B</v>
      </c>
      <c r="B17064" s="10" t="s">
        <v>15948</v>
      </c>
    </row>
    <row r="17065" spans="1:2" x14ac:dyDescent="0.3">
      <c r="A17065" s="7" t="str">
        <f>HYPERLINK("http://www.eatonpowersource.com/products/configure/pumps/details/622ak00528b","622AK00528B")</f>
        <v>622AK00528B</v>
      </c>
      <c r="B17065" s="8" t="s">
        <v>15949</v>
      </c>
    </row>
    <row r="17066" spans="1:2" x14ac:dyDescent="0.3">
      <c r="A17066" s="9" t="str">
        <f>HYPERLINK("http://www.eatonpowersource.com/products/configure/motors/details/530aw00059a","530AW00059A")</f>
        <v>530AW00059A</v>
      </c>
      <c r="B17066" s="10" t="s">
        <v>15950</v>
      </c>
    </row>
    <row r="17067" spans="1:2" x14ac:dyDescent="0.3">
      <c r="A17067" s="7" t="str">
        <f>HYPERLINK("http://www.eatonpowersource.com/products/configure/motors/details/530aw00450a","530AW00450A")</f>
        <v>530AW00450A</v>
      </c>
      <c r="B17067" s="8" t="s">
        <v>15951</v>
      </c>
    </row>
    <row r="17068" spans="1:2" x14ac:dyDescent="0.3">
      <c r="A17068" s="9" t="str">
        <f>HYPERLINK("http://www.eatonpowersource.com/products/configure/motors/details/530aw00451a","530AW00451A")</f>
        <v>530AW00451A</v>
      </c>
      <c r="B17068" s="10" t="s">
        <v>15952</v>
      </c>
    </row>
    <row r="17069" spans="1:2" x14ac:dyDescent="0.3">
      <c r="A17069" s="7" t="str">
        <f>HYPERLINK("http://www.eatonpowersource.com/products/configure/motors/details/531aw00058a","531AW00058A")</f>
        <v>531AW00058A</v>
      </c>
      <c r="B17069" s="8" t="s">
        <v>15953</v>
      </c>
    </row>
    <row r="17070" spans="1:2" x14ac:dyDescent="0.3">
      <c r="A17070" s="9" t="str">
        <f>HYPERLINK("http://www.eatonpowersource.com/products/configure/motors/details/531aw00622a","531AW00622A")</f>
        <v>531AW00622A</v>
      </c>
      <c r="B17070" s="10" t="s">
        <v>15954</v>
      </c>
    </row>
    <row r="17071" spans="1:2" x14ac:dyDescent="0.3">
      <c r="A17071" s="7" t="str">
        <f>HYPERLINK("http://www.eatonpowersource.com/products/configure/motors/details/560aw01141a","560AW01141A")</f>
        <v>560AW01141A</v>
      </c>
      <c r="B17071" s="8" t="s">
        <v>15955</v>
      </c>
    </row>
    <row r="17072" spans="1:2" x14ac:dyDescent="0.3">
      <c r="A17072" s="9" t="str">
        <f>HYPERLINK("http://www.eatonpowersource.com/products/configure/motors/details/560aw01932a","560AW01932A")</f>
        <v>560AW01932A</v>
      </c>
      <c r="B17072" s="10" t="s">
        <v>15956</v>
      </c>
    </row>
    <row r="17073" spans="1:2" x14ac:dyDescent="0.3">
      <c r="A17073" s="7" t="str">
        <f>HYPERLINK("http://www.eatonpowersource.com/products/configure/motors/details/560aw01935a","560AW01935A")</f>
        <v>560AW01935A</v>
      </c>
      <c r="B17073" s="8" t="s">
        <v>15957</v>
      </c>
    </row>
    <row r="17074" spans="1:2" x14ac:dyDescent="0.3">
      <c r="A17074" s="9" t="str">
        <f>HYPERLINK("http://www.eatonpowersource.com/products/configure/motors/details/560aw01937a","560AW01937A")</f>
        <v>560AW01937A</v>
      </c>
      <c r="B17074" s="10" t="s">
        <v>15958</v>
      </c>
    </row>
    <row r="17075" spans="1:2" x14ac:dyDescent="0.3">
      <c r="A17075" s="7" t="str">
        <f>HYPERLINK("http://www.eatonpowersource.com/products/configure/motors/details/560aw01940a","560AW01940A")</f>
        <v>560AW01940A</v>
      </c>
      <c r="B17075" s="8" t="s">
        <v>15959</v>
      </c>
    </row>
    <row r="17076" spans="1:2" x14ac:dyDescent="0.3">
      <c r="A17076" s="9" t="str">
        <f>HYPERLINK("http://www.eatonpowersource.com/products/configure/motors/details/560aw02016a","560AW02016A")</f>
        <v>560AW02016A</v>
      </c>
      <c r="B17076" s="10" t="s">
        <v>15960</v>
      </c>
    </row>
    <row r="17077" spans="1:2" x14ac:dyDescent="0.3">
      <c r="A17077" s="7" t="str">
        <f>HYPERLINK("http://www.eatonpowersource.com/products/configure/motors/details/560aw02044a","560AW02044A")</f>
        <v>560AW02044A</v>
      </c>
      <c r="B17077" s="8" t="s">
        <v>15961</v>
      </c>
    </row>
    <row r="17078" spans="1:2" x14ac:dyDescent="0.3">
      <c r="A17078" s="9" t="str">
        <f>HYPERLINK("http://www.eatonpowersource.com/products/configure/motors/details/560aw02051a","560AW02051A")</f>
        <v>560AW02051A</v>
      </c>
      <c r="B17078" s="10" t="s">
        <v>15962</v>
      </c>
    </row>
    <row r="17079" spans="1:2" x14ac:dyDescent="0.3">
      <c r="A17079" s="7" t="str">
        <f>HYPERLINK("http://www.eatonpowersource.com/products/configure/motors/details/630aw00114a","630AW00114A")</f>
        <v>630AW00114A</v>
      </c>
      <c r="B17079" s="8" t="s">
        <v>15963</v>
      </c>
    </row>
    <row r="17080" spans="1:2" x14ac:dyDescent="0.3">
      <c r="A17080" s="9" t="str">
        <f>HYPERLINK("http://www.eatonpowersource.com/products/configure/motors/details/630aw00138a","630AW00138A")</f>
        <v>630AW00138A</v>
      </c>
      <c r="B17080" s="10" t="s">
        <v>15964</v>
      </c>
    </row>
    <row r="17081" spans="1:2" x14ac:dyDescent="0.3">
      <c r="A17081" s="7" t="str">
        <f>HYPERLINK("http://www.eatonpowersource.com/products/configure/motors/details/630aw00836a","630AW00836A")</f>
        <v>630AW00836A</v>
      </c>
      <c r="B17081" s="8" t="s">
        <v>15965</v>
      </c>
    </row>
    <row r="17082" spans="1:2" x14ac:dyDescent="0.3">
      <c r="A17082" s="9" t="str">
        <f>HYPERLINK("http://www.eatonpowersource.com/products/configure/motors/details/630aw00945a","630AW00945A")</f>
        <v>630AW00945A</v>
      </c>
      <c r="B17082" s="10" t="s">
        <v>15966</v>
      </c>
    </row>
    <row r="17083" spans="1:2" x14ac:dyDescent="0.3">
      <c r="A17083" s="7" t="str">
        <f>HYPERLINK("http://www.eatonpowersource.com/products/configure/motors/details/630aw00991a","630AW00991A")</f>
        <v>630AW00991A</v>
      </c>
      <c r="B17083" s="8" t="s">
        <v>15967</v>
      </c>
    </row>
    <row r="17084" spans="1:2" x14ac:dyDescent="0.3">
      <c r="A17084" s="9" t="str">
        <f>HYPERLINK("http://www.eatonpowersource.com/products/configure/motors/details/630aw01040a","630AW01040A")</f>
        <v>630AW01040A</v>
      </c>
      <c r="B17084" s="10" t="s">
        <v>15968</v>
      </c>
    </row>
    <row r="17085" spans="1:2" x14ac:dyDescent="0.3">
      <c r="A17085" s="7" t="str">
        <f>HYPERLINK("http://www.eatonpowersource.com/products/configure/motors/details/630aw01052a","630AW01052A")</f>
        <v>630AW01052A</v>
      </c>
      <c r="B17085" s="8" t="s">
        <v>15969</v>
      </c>
    </row>
    <row r="17086" spans="1:2" x14ac:dyDescent="0.3">
      <c r="A17086" s="9" t="str">
        <f>HYPERLINK("http://www.eatonpowersource.com/products/configure/motors/details/626ag00012a","626AG00012A")</f>
        <v>626AG00012A</v>
      </c>
      <c r="B17086" s="10" t="s">
        <v>15970</v>
      </c>
    </row>
    <row r="17087" spans="1:2" x14ac:dyDescent="0.3">
      <c r="A17087" s="7" t="str">
        <f>HYPERLINK("http://www.eatonpowersource.com/products/configure/motors/details/626ag00015a","626AG00015A")</f>
        <v>626AG00015A</v>
      </c>
      <c r="B17087" s="8" t="s">
        <v>15971</v>
      </c>
    </row>
    <row r="17088" spans="1:2" x14ac:dyDescent="0.3">
      <c r="A17088" s="9" t="str">
        <f>HYPERLINK("http://www.eatonpowersource.com/products/configure/motors/details/626ag00016a","626AG00016A")</f>
        <v>626AG00016A</v>
      </c>
      <c r="B17088" s="10" t="s">
        <v>15972</v>
      </c>
    </row>
    <row r="17089" spans="1:2" x14ac:dyDescent="0.3">
      <c r="A17089" s="7" t="str">
        <f>HYPERLINK("http://www.eatonpowersource.com/products/configure/motors/details/626ag00017a","626AG00017A")</f>
        <v>626AG00017A</v>
      </c>
      <c r="B17089" s="8" t="s">
        <v>15973</v>
      </c>
    </row>
    <row r="17090" spans="1:2" x14ac:dyDescent="0.3">
      <c r="A17090" s="9" t="str">
        <f>HYPERLINK("http://www.eatonpowersource.com/products/configure/motors/details/626ag00018a","626AG00018A")</f>
        <v>626AG00018A</v>
      </c>
      <c r="B17090" s="10" t="s">
        <v>15974</v>
      </c>
    </row>
    <row r="17091" spans="1:2" x14ac:dyDescent="0.3">
      <c r="A17091" s="7" t="str">
        <f>HYPERLINK("http://www.eatonpowersource.com/products/configure/motors/details/626ag00019a","626AG00019A")</f>
        <v>626AG00019A</v>
      </c>
      <c r="B17091" s="8" t="s">
        <v>15975</v>
      </c>
    </row>
    <row r="17092" spans="1:2" x14ac:dyDescent="0.3">
      <c r="A17092" s="9" t="str">
        <f>HYPERLINK("http://www.eatonpowersource.com/products/configure/motors/details/626ag00020a","626AG00020A")</f>
        <v>626AG00020A</v>
      </c>
      <c r="B17092" s="10" t="s">
        <v>15976</v>
      </c>
    </row>
    <row r="17093" spans="1:2" x14ac:dyDescent="0.3">
      <c r="A17093" s="7" t="str">
        <f>HYPERLINK("http://www.eatonpowersource.com/products/configure/motors/details/626ag00021a","626AG00021A")</f>
        <v>626AG00021A</v>
      </c>
      <c r="B17093" s="8" t="s">
        <v>15977</v>
      </c>
    </row>
    <row r="17094" spans="1:2" x14ac:dyDescent="0.3">
      <c r="A17094" s="9" t="str">
        <f>HYPERLINK("http://www.eatonpowersource.com/products/configure/motors/details/626ag00029a","626AG00029A")</f>
        <v>626AG00029A</v>
      </c>
      <c r="B17094" s="10" t="s">
        <v>15978</v>
      </c>
    </row>
    <row r="17095" spans="1:2" x14ac:dyDescent="0.3">
      <c r="A17095" s="7" t="str">
        <f>HYPERLINK("http://www.eatonpowersource.com/products/configure/motors/details/626ag00030a","626AG00030A")</f>
        <v>626AG00030A</v>
      </c>
      <c r="B17095" s="8" t="s">
        <v>15979</v>
      </c>
    </row>
    <row r="17096" spans="1:2" x14ac:dyDescent="0.3">
      <c r="A17096" s="9" t="str">
        <f>HYPERLINK("http://www.eatonpowersource.com/products/configure/motors/details/626ag00031a","626AG00031A")</f>
        <v>626AG00031A</v>
      </c>
      <c r="B17096" s="10" t="s">
        <v>15980</v>
      </c>
    </row>
    <row r="17097" spans="1:2" x14ac:dyDescent="0.3">
      <c r="A17097" s="7" t="str">
        <f>HYPERLINK("http://www.eatonpowersource.com/products/configure/motors/details/626ag00032a","626AG00032A")</f>
        <v>626AG00032A</v>
      </c>
      <c r="B17097" s="8" t="s">
        <v>15981</v>
      </c>
    </row>
    <row r="17098" spans="1:2" x14ac:dyDescent="0.3">
      <c r="A17098" s="9" t="str">
        <f>HYPERLINK("http://www.eatonpowersource.com/products/configure/motors/details/626ag00033a","626AG00033A")</f>
        <v>626AG00033A</v>
      </c>
      <c r="B17098" s="10" t="s">
        <v>15982</v>
      </c>
    </row>
    <row r="17099" spans="1:2" x14ac:dyDescent="0.3">
      <c r="A17099" s="7" t="str">
        <f>HYPERLINK("http://www.eatonpowersource.com/products/configure/motors/details/626ag00043a","626AG00043A")</f>
        <v>626AG00043A</v>
      </c>
      <c r="B17099" s="8" t="s">
        <v>15983</v>
      </c>
    </row>
    <row r="17100" spans="1:2" x14ac:dyDescent="0.3">
      <c r="A17100" s="9" t="str">
        <f>HYPERLINK("http://www.eatonpowersource.com/products/configure/motors/details/626ag00044a","626AG00044A")</f>
        <v>626AG00044A</v>
      </c>
      <c r="B17100" s="10" t="s">
        <v>15984</v>
      </c>
    </row>
    <row r="17101" spans="1:2" x14ac:dyDescent="0.3">
      <c r="A17101" s="7" t="str">
        <f>HYPERLINK("http://www.eatonpowersource.com/products/configure/motors/details/626ag00045a","626AG00045A")</f>
        <v>626AG00045A</v>
      </c>
      <c r="B17101" s="8" t="s">
        <v>15985</v>
      </c>
    </row>
    <row r="17102" spans="1:2" x14ac:dyDescent="0.3">
      <c r="A17102" s="9" t="str">
        <f>HYPERLINK("http://www.eatonpowersource.com/products/configure/motors/details/626ag00046a","626AG00046A")</f>
        <v>626AG00046A</v>
      </c>
      <c r="B17102" s="10" t="s">
        <v>15986</v>
      </c>
    </row>
    <row r="17103" spans="1:2" x14ac:dyDescent="0.3">
      <c r="A17103" s="7" t="str">
        <f>HYPERLINK("http://www.eatonpowersource.com/products/configure/motors/details/628ag00001a","628AG00001A")</f>
        <v>628AG00001A</v>
      </c>
      <c r="B17103" s="8" t="s">
        <v>15987</v>
      </c>
    </row>
    <row r="17104" spans="1:2" x14ac:dyDescent="0.3">
      <c r="A17104" s="9" t="str">
        <f>HYPERLINK("http://www.eatonpowersource.com/products/configure/motors/details/628ag00002a","628AG00002A")</f>
        <v>628AG00002A</v>
      </c>
      <c r="B17104" s="10" t="s">
        <v>15988</v>
      </c>
    </row>
    <row r="17105" spans="1:2" x14ac:dyDescent="0.3">
      <c r="A17105" s="7" t="str">
        <f>HYPERLINK("http://www.eatonpowersource.com/products/configure/motors/details/628ag00003a","628AG00003A")</f>
        <v>628AG00003A</v>
      </c>
      <c r="B17105" s="8" t="s">
        <v>15989</v>
      </c>
    </row>
    <row r="17106" spans="1:2" x14ac:dyDescent="0.3">
      <c r="A17106" s="9" t="str">
        <f>HYPERLINK("http://www.eatonpowersource.com/products/configure/motors/details/628ag00004a","628AG00004A")</f>
        <v>628AG00004A</v>
      </c>
      <c r="B17106" s="10" t="s">
        <v>15990</v>
      </c>
    </row>
    <row r="17107" spans="1:2" x14ac:dyDescent="0.3">
      <c r="A17107" s="7" t="str">
        <f>HYPERLINK("http://www.eatonpowersource.com/products/configure/motors/details/628ag00005a","628AG00005A")</f>
        <v>628AG00005A</v>
      </c>
      <c r="B17107" s="8" t="s">
        <v>15991</v>
      </c>
    </row>
    <row r="17108" spans="1:2" x14ac:dyDescent="0.3">
      <c r="A17108" s="9" t="str">
        <f>HYPERLINK("http://www.eatonpowersource.com/products/configure/motors/details/628ag00006a","628AG00006A")</f>
        <v>628AG00006A</v>
      </c>
      <c r="B17108" s="10" t="s">
        <v>15992</v>
      </c>
    </row>
    <row r="17109" spans="1:2" x14ac:dyDescent="0.3">
      <c r="A17109" s="7" t="str">
        <f>HYPERLINK("http://www.eatonpowersource.com/products/configure/motors/details/629ag00037a","629AG00037A")</f>
        <v>629AG00037A</v>
      </c>
      <c r="B17109" s="8" t="s">
        <v>15993</v>
      </c>
    </row>
    <row r="17110" spans="1:2" x14ac:dyDescent="0.3">
      <c r="A17110" s="9" t="str">
        <f>HYPERLINK("http://www.eatonpowersource.com/products/configure/motors/details/629ag00038a","629AG00038A")</f>
        <v>629AG00038A</v>
      </c>
      <c r="B17110" s="10" t="s">
        <v>15994</v>
      </c>
    </row>
    <row r="17111" spans="1:2" x14ac:dyDescent="0.3">
      <c r="A17111" s="7" t="str">
        <f>HYPERLINK("http://www.eatonpowersource.com/products/configure/motors/details/629ag00039a","629AG00039A")</f>
        <v>629AG00039A</v>
      </c>
      <c r="B17111" s="8" t="s">
        <v>15995</v>
      </c>
    </row>
    <row r="17112" spans="1:2" x14ac:dyDescent="0.3">
      <c r="A17112" s="9" t="str">
        <f>HYPERLINK("http://www.eatonpowersource.com/products/configure/motors/details/629ag00040a","629AG00040A")</f>
        <v>629AG00040A</v>
      </c>
      <c r="B17112" s="10" t="s">
        <v>15996</v>
      </c>
    </row>
    <row r="17113" spans="1:2" x14ac:dyDescent="0.3">
      <c r="A17113" s="7" t="str">
        <f>HYPERLINK("http://www.eatonpowersource.com/products/configure/motors/details/629ag00041a","629AG00041A")</f>
        <v>629AG00041A</v>
      </c>
      <c r="B17113" s="8" t="s">
        <v>15997</v>
      </c>
    </row>
    <row r="17114" spans="1:2" x14ac:dyDescent="0.3">
      <c r="A17114" s="9" t="str">
        <f>HYPERLINK("http://www.eatonpowersource.com/products/configure/motors/details/629ag00042a","629AG00042A")</f>
        <v>629AG00042A</v>
      </c>
      <c r="B17114" s="10" t="s">
        <v>15998</v>
      </c>
    </row>
    <row r="17115" spans="1:2" x14ac:dyDescent="0.3">
      <c r="A17115" s="7" t="str">
        <f>HYPERLINK("http://www.eatonpowersource.com/products/configure/motors/details/629ag00043a","629AG00043A")</f>
        <v>629AG00043A</v>
      </c>
      <c r="B17115" s="8" t="s">
        <v>15999</v>
      </c>
    </row>
    <row r="17116" spans="1:2" x14ac:dyDescent="0.3">
      <c r="A17116" s="9" t="str">
        <f>HYPERLINK("http://www.eatonpowersource.com/products/configure/motors/details/629ag00044a","629AG00044A")</f>
        <v>629AG00044A</v>
      </c>
      <c r="B17116" s="10" t="s">
        <v>16000</v>
      </c>
    </row>
    <row r="17117" spans="1:2" x14ac:dyDescent="0.3">
      <c r="A17117" s="7" t="str">
        <f>HYPERLINK("http://www.eatonpowersource.com/products/configure/motors/details/629ag00045a","629AG00045A")</f>
        <v>629AG00045A</v>
      </c>
      <c r="B17117" s="8" t="s">
        <v>16001</v>
      </c>
    </row>
    <row r="17118" spans="1:2" x14ac:dyDescent="0.3">
      <c r="A17118" s="9" t="str">
        <f>HYPERLINK("http://www.eatonpowersource.com/products/configure/motors/details/629ag00055a","629AG00055A")</f>
        <v>629AG00055A</v>
      </c>
      <c r="B17118" s="10" t="s">
        <v>16002</v>
      </c>
    </row>
    <row r="17119" spans="1:2" x14ac:dyDescent="0.3">
      <c r="A17119" s="7" t="str">
        <f>HYPERLINK("http://www.eatonpowersource.com/products/configure/motors/details/629ag00056a","629AG00056A")</f>
        <v>629AG00056A</v>
      </c>
      <c r="B17119" s="8" t="s">
        <v>16003</v>
      </c>
    </row>
    <row r="17120" spans="1:2" x14ac:dyDescent="0.3">
      <c r="A17120" s="9" t="str">
        <f>HYPERLINK("http://www.eatonpowersource.com/products/configure/motors/details/629ag00057a","629AG00057A")</f>
        <v>629AG00057A</v>
      </c>
      <c r="B17120" s="10" t="s">
        <v>16004</v>
      </c>
    </row>
    <row r="17121" spans="1:2" x14ac:dyDescent="0.3">
      <c r="A17121" s="7" t="str">
        <f>HYPERLINK("http://www.eatonpowersource.com/products/configure/motors/details/629ag00058a","629AG00058A")</f>
        <v>629AG00058A</v>
      </c>
      <c r="B17121" s="8" t="s">
        <v>16005</v>
      </c>
    </row>
    <row r="17122" spans="1:2" x14ac:dyDescent="0.3">
      <c r="A17122" s="9" t="str">
        <f>HYPERLINK("http://www.eatonpowersource.com/products/configure/motors/details/629ag00059a","629AG00059A")</f>
        <v>629AG00059A</v>
      </c>
      <c r="B17122" s="10" t="s">
        <v>16006</v>
      </c>
    </row>
    <row r="17123" spans="1:2" x14ac:dyDescent="0.3">
      <c r="A17123" s="7" t="str">
        <f>HYPERLINK("http://www.eatonpowersource.com/products/configure/motors/details/629ag00060a","629AG00060A")</f>
        <v>629AG00060A</v>
      </c>
      <c r="B17123" s="8" t="s">
        <v>16007</v>
      </c>
    </row>
    <row r="17124" spans="1:2" x14ac:dyDescent="0.3">
      <c r="A17124" s="9" t="str">
        <f>HYPERLINK("http://www.eatonpowersource.com/products/configure/motors/details/629ag00061a","629AG00061A")</f>
        <v>629AG00061A</v>
      </c>
      <c r="B17124" s="10" t="s">
        <v>16008</v>
      </c>
    </row>
    <row r="17125" spans="1:2" x14ac:dyDescent="0.3">
      <c r="A17125" s="7" t="str">
        <f>HYPERLINK("http://www.eatonpowersource.com/products/configure/motors/details/629ag00062a","629AG00062A")</f>
        <v>629AG00062A</v>
      </c>
      <c r="B17125" s="8" t="s">
        <v>16009</v>
      </c>
    </row>
    <row r="17126" spans="1:2" x14ac:dyDescent="0.3">
      <c r="A17126" s="9" t="str">
        <f>HYPERLINK("http://www.eatonpowersource.com/products/configure/motors/details/629ag00063a","629AG00063A")</f>
        <v>629AG00063A</v>
      </c>
      <c r="B17126" s="10" t="s">
        <v>16010</v>
      </c>
    </row>
    <row r="17127" spans="1:2" x14ac:dyDescent="0.3">
      <c r="A17127" s="7" t="str">
        <f>HYPERLINK("http://www.eatonpowersource.com/products/configure/motors/details/629ag00064a","629AG00064A")</f>
        <v>629AG00064A</v>
      </c>
      <c r="B17127" s="8" t="s">
        <v>16011</v>
      </c>
    </row>
    <row r="17128" spans="1:2" x14ac:dyDescent="0.3">
      <c r="A17128" s="9" t="str">
        <f>HYPERLINK("http://www.eatonpowersource.com/products/configure/motors/details/629ag00065a","629AG00065A")</f>
        <v>629AG00065A</v>
      </c>
      <c r="B17128" s="10" t="s">
        <v>16012</v>
      </c>
    </row>
    <row r="17129" spans="1:2" x14ac:dyDescent="0.3">
      <c r="A17129" s="7" t="str">
        <f>HYPERLINK("http://www.eatonpowersource.com/products/configure/motors/details/629ag00066a","629AG00066A")</f>
        <v>629AG00066A</v>
      </c>
      <c r="B17129" s="8" t="s">
        <v>16013</v>
      </c>
    </row>
    <row r="17130" spans="1:2" x14ac:dyDescent="0.3">
      <c r="A17130" s="9" t="str">
        <f>HYPERLINK("http://www.eatonpowersource.com/products/configure/motors/details/629ag00067a","629AG00067A")</f>
        <v>629AG00067A</v>
      </c>
      <c r="B17130" s="10" t="s">
        <v>16014</v>
      </c>
    </row>
    <row r="17131" spans="1:2" x14ac:dyDescent="0.3">
      <c r="A17131" s="7" t="str">
        <f>HYPERLINK("http://www.eatonpowersource.com/products/configure/motors/details/629ag00068a","629AG00068A")</f>
        <v>629AG00068A</v>
      </c>
      <c r="B17131" s="8" t="s">
        <v>16015</v>
      </c>
    </row>
    <row r="17132" spans="1:2" x14ac:dyDescent="0.3">
      <c r="A17132" s="9" t="str">
        <f>HYPERLINK("http://www.eatonpowersource.com/products/configure/motors/details/629ag00069a","629AG00069A")</f>
        <v>629AG00069A</v>
      </c>
      <c r="B17132" s="10" t="s">
        <v>16016</v>
      </c>
    </row>
    <row r="17133" spans="1:2" x14ac:dyDescent="0.3">
      <c r="A17133" s="7" t="str">
        <f>HYPERLINK("http://www.eatonpowersource.com/products/configure/motors/details/629ag00070a","629AG00070A")</f>
        <v>629AG00070A</v>
      </c>
      <c r="B17133" s="8" t="s">
        <v>16017</v>
      </c>
    </row>
    <row r="17134" spans="1:2" x14ac:dyDescent="0.3">
      <c r="A17134" s="9" t="str">
        <f>HYPERLINK("http://www.eatonpowersource.com/products/configure/motors/details/629ag00071a","629AG00071A")</f>
        <v>629AG00071A</v>
      </c>
      <c r="B17134" s="10" t="s">
        <v>16018</v>
      </c>
    </row>
    <row r="17135" spans="1:2" x14ac:dyDescent="0.3">
      <c r="A17135" s="7" t="str">
        <f>HYPERLINK("http://www.eatonpowersource.com/products/configure/motors/details/629ag00072a","629AG00072A")</f>
        <v>629AG00072A</v>
      </c>
      <c r="B17135" s="8" t="s">
        <v>16019</v>
      </c>
    </row>
    <row r="17136" spans="1:2" x14ac:dyDescent="0.3">
      <c r="A17136" s="9" t="str">
        <f>HYPERLINK("http://www.eatonpowersource.com/products/configure/motors/details/629ag00074a","629AG00074A")</f>
        <v>629AG00074A</v>
      </c>
      <c r="B17136" s="10" t="s">
        <v>16020</v>
      </c>
    </row>
    <row r="17137" spans="1:2" x14ac:dyDescent="0.3">
      <c r="A17137" s="7" t="str">
        <f>HYPERLINK("http://www.eatonpowersource.com/products/configure/motors/details/629ag00075a","629AG00075A")</f>
        <v>629AG00075A</v>
      </c>
      <c r="B17137" s="8" t="s">
        <v>16021</v>
      </c>
    </row>
    <row r="17138" spans="1:2" x14ac:dyDescent="0.3">
      <c r="A17138" s="9" t="str">
        <f>HYPERLINK("http://www.eatonpowersource.com/products/configure/motors/details/629ag00076a","629AG00076A")</f>
        <v>629AG00076A</v>
      </c>
      <c r="B17138" s="10" t="s">
        <v>16022</v>
      </c>
    </row>
    <row r="17139" spans="1:2" x14ac:dyDescent="0.3">
      <c r="A17139" s="7" t="str">
        <f>HYPERLINK("http://www.eatonpowersource.com/products/configure/motors/details/629ag00077a","629AG00077A")</f>
        <v>629AG00077A</v>
      </c>
      <c r="B17139" s="8" t="s">
        <v>16023</v>
      </c>
    </row>
    <row r="17140" spans="1:2" x14ac:dyDescent="0.3">
      <c r="A17140" s="9" t="str">
        <f>HYPERLINK("http://www.eatonpowersource.com/products/configure/motors/details/629ag00078a","629AG00078A")</f>
        <v>629AG00078A</v>
      </c>
      <c r="B17140" s="10" t="s">
        <v>16024</v>
      </c>
    </row>
    <row r="17141" spans="1:2" x14ac:dyDescent="0.3">
      <c r="A17141" s="7" t="str">
        <f>HYPERLINK("http://www.eatonpowersource.com/products/configure/motors/details/629ag00079a","629AG00079A")</f>
        <v>629AG00079A</v>
      </c>
      <c r="B17141" s="8" t="s">
        <v>16025</v>
      </c>
    </row>
    <row r="17142" spans="1:2" x14ac:dyDescent="0.3">
      <c r="A17142" s="9" t="str">
        <f>HYPERLINK("http://www.eatonpowersource.com/products/configure/motors/details/629ag00080a","629AG00080A")</f>
        <v>629AG00080A</v>
      </c>
      <c r="B17142" s="10" t="s">
        <v>16026</v>
      </c>
    </row>
    <row r="17143" spans="1:2" x14ac:dyDescent="0.3">
      <c r="A17143" s="7" t="str">
        <f>HYPERLINK("http://www.eatonpowersource.com/products/configure/motors/details/629ag00081a","629AG00081A")</f>
        <v>629AG00081A</v>
      </c>
      <c r="B17143" s="8" t="s">
        <v>16027</v>
      </c>
    </row>
    <row r="17144" spans="1:2" x14ac:dyDescent="0.3">
      <c r="A17144" s="9" t="str">
        <f>HYPERLINK("http://www.eatonpowersource.com/products/configure/motors/details/629ag00082a","629AG00082A")</f>
        <v>629AG00082A</v>
      </c>
      <c r="B17144" s="10" t="s">
        <v>16028</v>
      </c>
    </row>
    <row r="17145" spans="1:2" x14ac:dyDescent="0.3">
      <c r="A17145" s="7" t="str">
        <f>HYPERLINK("http://www.eatonpowersource.com/products/configure/motors/details/629ag00083a","629AG00083A")</f>
        <v>629AG00083A</v>
      </c>
      <c r="B17145" s="8" t="s">
        <v>16029</v>
      </c>
    </row>
    <row r="17146" spans="1:2" x14ac:dyDescent="0.3">
      <c r="A17146" s="9" t="str">
        <f>HYPERLINK("http://www.eatonpowersource.com/products/configure/motors/details/629ag00084a","629AG00084A")</f>
        <v>629AG00084A</v>
      </c>
      <c r="B17146" s="10" t="s">
        <v>16030</v>
      </c>
    </row>
    <row r="17147" spans="1:2" x14ac:dyDescent="0.3">
      <c r="A17147" s="7" t="str">
        <f>HYPERLINK("http://www.eatonpowersource.com/products/configure/motors/details/629ag00085a","629AG00085A")</f>
        <v>629AG00085A</v>
      </c>
      <c r="B17147" s="8" t="s">
        <v>16031</v>
      </c>
    </row>
    <row r="17148" spans="1:2" x14ac:dyDescent="0.3">
      <c r="A17148" s="9" t="str">
        <f>HYPERLINK("http://www.eatonpowersource.com/products/configure/motors/details/629ag00086a","629AG00086A")</f>
        <v>629AG00086A</v>
      </c>
      <c r="B17148" s="10" t="s">
        <v>16032</v>
      </c>
    </row>
    <row r="17149" spans="1:2" x14ac:dyDescent="0.3">
      <c r="A17149" s="7" t="str">
        <f>HYPERLINK("http://www.eatonpowersource.com/products/configure/motors/details/629ag00087a","629AG00087A")</f>
        <v>629AG00087A</v>
      </c>
      <c r="B17149" s="8" t="s">
        <v>16033</v>
      </c>
    </row>
    <row r="17150" spans="1:2" x14ac:dyDescent="0.3">
      <c r="A17150" s="9" t="str">
        <f>HYPERLINK("http://www.eatonpowersource.com/products/configure/motors/details/629ag00088a","629AG00088A")</f>
        <v>629AG00088A</v>
      </c>
      <c r="B17150" s="10" t="s">
        <v>16034</v>
      </c>
    </row>
    <row r="17151" spans="1:2" x14ac:dyDescent="0.3">
      <c r="A17151" s="7" t="str">
        <f>HYPERLINK("http://www.eatonpowersource.com/products/configure/motors/details/629ag00089a","629AG00089A")</f>
        <v>629AG00089A</v>
      </c>
      <c r="B17151" s="8" t="s">
        <v>16035</v>
      </c>
    </row>
    <row r="17152" spans="1:2" x14ac:dyDescent="0.3">
      <c r="A17152" s="9" t="str">
        <f>HYPERLINK("http://www.eatonpowersource.com/products/configure/motors/details/629ag00090a","629AG00090A")</f>
        <v>629AG00090A</v>
      </c>
      <c r="B17152" s="10" t="s">
        <v>16036</v>
      </c>
    </row>
    <row r="17153" spans="1:2" x14ac:dyDescent="0.3">
      <c r="A17153" s="7" t="str">
        <f>HYPERLINK("http://www.eatonpowersource.com/products/configure/motors/details/629ag00091a","629AG00091A")</f>
        <v>629AG00091A</v>
      </c>
      <c r="B17153" s="8" t="s">
        <v>16037</v>
      </c>
    </row>
    <row r="17154" spans="1:2" x14ac:dyDescent="0.3">
      <c r="A17154" s="9" t="str">
        <f>HYPERLINK("http://www.eatonpowersource.com/products/configure/motors/details/629ag00102a","629AG00102A")</f>
        <v>629AG00102A</v>
      </c>
      <c r="B17154" s="10" t="s">
        <v>16038</v>
      </c>
    </row>
    <row r="17155" spans="1:2" x14ac:dyDescent="0.3">
      <c r="A17155" s="7" t="str">
        <f>HYPERLINK("http://www.eatonpowersource.com/products/configure/motors/details/629ag00110a","629AG00110A")</f>
        <v>629AG00110A</v>
      </c>
      <c r="B17155" s="8" t="s">
        <v>16039</v>
      </c>
    </row>
    <row r="17156" spans="1:2" x14ac:dyDescent="0.3">
      <c r="A17156" s="9" t="str">
        <f>HYPERLINK("http://www.eatonpowersource.com/products/configure/motors/details/629ag00202a","629AG00202A")</f>
        <v>629AG00202A</v>
      </c>
      <c r="B17156" s="10" t="s">
        <v>16040</v>
      </c>
    </row>
    <row r="17157" spans="1:2" x14ac:dyDescent="0.3">
      <c r="A17157" s="7" t="str">
        <f>HYPERLINK("http://www.eatonpowersource.com/products/configure/motors/details/629ag00203a","629AG00203A")</f>
        <v>629AG00203A</v>
      </c>
      <c r="B17157" s="8" t="s">
        <v>16041</v>
      </c>
    </row>
    <row r="17158" spans="1:2" x14ac:dyDescent="0.3">
      <c r="A17158" s="9" t="str">
        <f>HYPERLINK("http://www.eatonpowersource.com/products/configure/motors/details/629ag00204a","629AG00204A")</f>
        <v>629AG00204A</v>
      </c>
      <c r="B17158" s="10" t="s">
        <v>16042</v>
      </c>
    </row>
    <row r="17159" spans="1:2" x14ac:dyDescent="0.3">
      <c r="A17159" s="7" t="str">
        <f>HYPERLINK("http://www.eatonpowersource.com/products/configure/motors/details/629ag00206a","629AG00206A")</f>
        <v>629AG00206A</v>
      </c>
      <c r="B17159" s="8" t="s">
        <v>16043</v>
      </c>
    </row>
    <row r="17160" spans="1:2" x14ac:dyDescent="0.3">
      <c r="A17160" s="9" t="str">
        <f>HYPERLINK("http://www.eatonpowersource.com/products/configure/motors/details/629ag00207a","629AG00207A")</f>
        <v>629AG00207A</v>
      </c>
      <c r="B17160" s="10" t="s">
        <v>16044</v>
      </c>
    </row>
    <row r="17161" spans="1:2" x14ac:dyDescent="0.3">
      <c r="A17161" s="7" t="str">
        <f>HYPERLINK("http://www.eatonpowersource.com/products/configure/motors/details/629ag00208a","629AG00208A")</f>
        <v>629AG00208A</v>
      </c>
      <c r="B17161" s="8" t="s">
        <v>16045</v>
      </c>
    </row>
    <row r="17162" spans="1:2" x14ac:dyDescent="0.3">
      <c r="A17162" s="9" t="str">
        <f>HYPERLINK("http://www.eatonpowersource.com/products/configure/motors/details/629ag00209a","629AG00209A")</f>
        <v>629AG00209A</v>
      </c>
      <c r="B17162" s="10" t="s">
        <v>16046</v>
      </c>
    </row>
    <row r="17163" spans="1:2" x14ac:dyDescent="0.3">
      <c r="A17163" s="7" t="str">
        <f>HYPERLINK("http://www.eatonpowersource.com/products/configure/motors/details/629ag00210a","629AG00210A")</f>
        <v>629AG00210A</v>
      </c>
      <c r="B17163" s="8" t="s">
        <v>16047</v>
      </c>
    </row>
    <row r="17164" spans="1:2" x14ac:dyDescent="0.3">
      <c r="A17164" s="9" t="str">
        <f>HYPERLINK("http://www.eatonpowersource.com/products/configure/motors/details/629ag00211a","629AG00211A")</f>
        <v>629AG00211A</v>
      </c>
      <c r="B17164" s="10" t="s">
        <v>16048</v>
      </c>
    </row>
    <row r="17165" spans="1:2" x14ac:dyDescent="0.3">
      <c r="A17165" s="7" t="str">
        <f>HYPERLINK("http://www.eatonpowersource.com/products/configure/motors/details/629ag00216a","629AG00216A")</f>
        <v>629AG00216A</v>
      </c>
      <c r="B17165" s="8" t="s">
        <v>16049</v>
      </c>
    </row>
    <row r="17166" spans="1:2" x14ac:dyDescent="0.3">
      <c r="A17166" s="9" t="str">
        <f>HYPERLINK("http://www.eatonpowersource.com/products/configure/motors/details/629ag00218a","629AG00218A")</f>
        <v>629AG00218A</v>
      </c>
      <c r="B17166" s="10" t="s">
        <v>16050</v>
      </c>
    </row>
    <row r="17167" spans="1:2" x14ac:dyDescent="0.3">
      <c r="A17167" s="7" t="str">
        <f>HYPERLINK("http://www.eatonpowersource.com/products/configure/motors/details/629ag00219a","629AG00219A")</f>
        <v>629AG00219A</v>
      </c>
      <c r="B17167" s="8" t="s">
        <v>16051</v>
      </c>
    </row>
    <row r="17168" spans="1:2" x14ac:dyDescent="0.3">
      <c r="A17168" s="9" t="str">
        <f>HYPERLINK("http://www.eatonpowersource.com/products/configure/motors/details/629ag00222a","629AG00222A")</f>
        <v>629AG00222A</v>
      </c>
      <c r="B17168" s="10" t="s">
        <v>16052</v>
      </c>
    </row>
    <row r="17169" spans="1:2" x14ac:dyDescent="0.3">
      <c r="A17169" s="7" t="str">
        <f>HYPERLINK("http://www.eatonpowersource.com/products/configure/motors/details/629ag00223a","629AG00223A")</f>
        <v>629AG00223A</v>
      </c>
      <c r="B17169" s="8" t="s">
        <v>16053</v>
      </c>
    </row>
    <row r="17170" spans="1:2" x14ac:dyDescent="0.3">
      <c r="A17170" s="9" t="str">
        <f>HYPERLINK("http://www.eatonpowersource.com/products/configure/motors/details/629ag00224a","629AG00224A")</f>
        <v>629AG00224A</v>
      </c>
      <c r="B17170" s="10" t="s">
        <v>16054</v>
      </c>
    </row>
    <row r="17171" spans="1:2" x14ac:dyDescent="0.3">
      <c r="A17171" s="7" t="str">
        <f>HYPERLINK("http://www.eatonpowersource.com/products/configure/motors/details/629ag00225a","629AG00225A")</f>
        <v>629AG00225A</v>
      </c>
      <c r="B17171" s="8" t="s">
        <v>16055</v>
      </c>
    </row>
    <row r="17172" spans="1:2" x14ac:dyDescent="0.3">
      <c r="A17172" s="9" t="str">
        <f>HYPERLINK("http://www.eatonpowersource.com/products/configure/motors/details/629ag00226a","629AG00226A")</f>
        <v>629AG00226A</v>
      </c>
      <c r="B17172" s="10" t="s">
        <v>16056</v>
      </c>
    </row>
    <row r="17173" spans="1:2" x14ac:dyDescent="0.3">
      <c r="A17173" s="7" t="str">
        <f>HYPERLINK("http://www.eatonpowersource.com/products/configure/motors/details/629ag00227a","629AG00227A")</f>
        <v>629AG00227A</v>
      </c>
      <c r="B17173" s="8" t="s">
        <v>16057</v>
      </c>
    </row>
    <row r="17174" spans="1:2" x14ac:dyDescent="0.3">
      <c r="A17174" s="9" t="str">
        <f>HYPERLINK("http://www.eatonpowersource.com/products/configure/motors/details/629ag00228a","629AG00228A")</f>
        <v>629AG00228A</v>
      </c>
      <c r="B17174" s="10" t="s">
        <v>16058</v>
      </c>
    </row>
    <row r="17175" spans="1:2" x14ac:dyDescent="0.3">
      <c r="A17175" s="7" t="str">
        <f>HYPERLINK("http://www.eatonpowersource.com/products/configure/motors/details/629ag00229a","629AG00229A")</f>
        <v>629AG00229A</v>
      </c>
      <c r="B17175" s="8" t="s">
        <v>16059</v>
      </c>
    </row>
    <row r="17176" spans="1:2" x14ac:dyDescent="0.3">
      <c r="A17176" s="9" t="str">
        <f>HYPERLINK("http://www.eatonpowersource.com/products/configure/motors/details/629ag00230a","629AG00230A")</f>
        <v>629AG00230A</v>
      </c>
      <c r="B17176" s="10" t="s">
        <v>16060</v>
      </c>
    </row>
    <row r="17177" spans="1:2" x14ac:dyDescent="0.3">
      <c r="A17177" s="7" t="str">
        <f>HYPERLINK("http://www.eatonpowersource.com/products/configure/motors/details/629ag00231a","629AG00231A")</f>
        <v>629AG00231A</v>
      </c>
      <c r="B17177" s="8" t="s">
        <v>16061</v>
      </c>
    </row>
    <row r="17178" spans="1:2" x14ac:dyDescent="0.3">
      <c r="A17178" s="9" t="str">
        <f>HYPERLINK("http://www.eatonpowersource.com/products/configure/motors/details/629ag00232a","629AG00232A")</f>
        <v>629AG00232A</v>
      </c>
      <c r="B17178" s="10" t="s">
        <v>16062</v>
      </c>
    </row>
    <row r="17179" spans="1:2" x14ac:dyDescent="0.3">
      <c r="A17179" s="7" t="str">
        <f>HYPERLINK("http://www.eatonpowersource.com/products/configure/motors/details/629ag00233a","629AG00233A")</f>
        <v>629AG00233A</v>
      </c>
      <c r="B17179" s="8" t="s">
        <v>16063</v>
      </c>
    </row>
    <row r="17180" spans="1:2" x14ac:dyDescent="0.3">
      <c r="A17180" s="9" t="str">
        <f>HYPERLINK("http://www.eatonpowersource.com/products/configure/motors/details/629ag00234a","629AG00234A")</f>
        <v>629AG00234A</v>
      </c>
      <c r="B17180" s="10" t="s">
        <v>16064</v>
      </c>
    </row>
    <row r="17181" spans="1:2" x14ac:dyDescent="0.3">
      <c r="A17181" s="7" t="str">
        <f>HYPERLINK("http://www.eatonpowersource.com/products/configure/motors/details/629ag00243a","629AG00243A")</f>
        <v>629AG00243A</v>
      </c>
      <c r="B17181" s="8" t="s">
        <v>16065</v>
      </c>
    </row>
    <row r="17182" spans="1:2" x14ac:dyDescent="0.3">
      <c r="A17182" s="9" t="str">
        <f>HYPERLINK("http://www.eatonpowersource.com/products/configure/motors/details/629ag00244a","629AG00244A")</f>
        <v>629AG00244A</v>
      </c>
      <c r="B17182" s="10" t="s">
        <v>16066</v>
      </c>
    </row>
    <row r="17183" spans="1:2" x14ac:dyDescent="0.3">
      <c r="A17183" s="7" t="str">
        <f>HYPERLINK("http://www.eatonpowersource.com/products/configure/motors/details/629ag00251a","629AG00251A")</f>
        <v>629AG00251A</v>
      </c>
      <c r="B17183" s="8" t="s">
        <v>16067</v>
      </c>
    </row>
    <row r="17184" spans="1:2" x14ac:dyDescent="0.3">
      <c r="A17184" s="9" t="str">
        <f>HYPERLINK("http://www.eatonpowersource.com/products/configure/motors/details/629ag00252a","629AG00252A")</f>
        <v>629AG00252A</v>
      </c>
      <c r="B17184" s="10" t="s">
        <v>16068</v>
      </c>
    </row>
    <row r="17185" spans="1:2" x14ac:dyDescent="0.3">
      <c r="A17185" s="7" t="str">
        <f>HYPERLINK("http://www.eatonpowersource.com/products/configure/motors/details/629ag00253a","629AG00253A")</f>
        <v>629AG00253A</v>
      </c>
      <c r="B17185" s="8" t="s">
        <v>16069</v>
      </c>
    </row>
    <row r="17186" spans="1:2" x14ac:dyDescent="0.3">
      <c r="A17186" s="9" t="str">
        <f>HYPERLINK("http://www.eatonpowersource.com/products/configure/motors/details/629ag00261a","629AG00261A")</f>
        <v>629AG00261A</v>
      </c>
      <c r="B17186" s="10" t="s">
        <v>16070</v>
      </c>
    </row>
    <row r="17187" spans="1:2" x14ac:dyDescent="0.3">
      <c r="A17187" s="7" t="str">
        <f>HYPERLINK("http://www.eatonpowersource.com/products/configure/motors/details/629ag00267a","629AG00267A")</f>
        <v>629AG00267A</v>
      </c>
      <c r="B17187" s="8" t="s">
        <v>16071</v>
      </c>
    </row>
    <row r="17188" spans="1:2" x14ac:dyDescent="0.3">
      <c r="A17188" s="9" t="str">
        <f>HYPERLINK("http://www.eatonpowersource.com/products/configure/motors/details/629ag00286a","629AG00286A")</f>
        <v>629AG00286A</v>
      </c>
      <c r="B17188" s="10" t="s">
        <v>16072</v>
      </c>
    </row>
    <row r="17189" spans="1:2" x14ac:dyDescent="0.3">
      <c r="A17189" s="7" t="str">
        <f>HYPERLINK("http://www.eatonpowersource.com/products/configure/motors/details/629ag00287a","629AG00287A")</f>
        <v>629AG00287A</v>
      </c>
      <c r="B17189" s="8" t="s">
        <v>16073</v>
      </c>
    </row>
    <row r="17190" spans="1:2" x14ac:dyDescent="0.3">
      <c r="A17190" s="9" t="str">
        <f>HYPERLINK("http://www.eatonpowersource.com/products/configure/motors/details/629ag00288a","629AG00288A")</f>
        <v>629AG00288A</v>
      </c>
      <c r="B17190" s="10" t="s">
        <v>16074</v>
      </c>
    </row>
    <row r="17191" spans="1:2" x14ac:dyDescent="0.3">
      <c r="A17191" s="7" t="str">
        <f>HYPERLINK("http://www.eatonpowersource.com/products/configure/motors/details/629ag00289a","629AG00289A")</f>
        <v>629AG00289A</v>
      </c>
      <c r="B17191" s="8" t="s">
        <v>16075</v>
      </c>
    </row>
    <row r="17192" spans="1:2" x14ac:dyDescent="0.3">
      <c r="A17192" s="9" t="str">
        <f>HYPERLINK("http://www.eatonpowersource.com/products/configure/motors/details/629ag00290a","629AG00290A")</f>
        <v>629AG00290A</v>
      </c>
      <c r="B17192" s="10" t="s">
        <v>16076</v>
      </c>
    </row>
    <row r="17193" spans="1:2" x14ac:dyDescent="0.3">
      <c r="A17193" s="7" t="str">
        <f>HYPERLINK("http://www.eatonpowersource.com/products/configure/motors/details/629ag00291a","629AG00291A")</f>
        <v>629AG00291A</v>
      </c>
      <c r="B17193" s="8" t="s">
        <v>16077</v>
      </c>
    </row>
    <row r="17194" spans="1:2" x14ac:dyDescent="0.3">
      <c r="A17194" s="9" t="str">
        <f>HYPERLINK("http://www.eatonpowersource.com/products/configure/motors/details/629ag00292a","629AG00292A")</f>
        <v>629AG00292A</v>
      </c>
      <c r="B17194" s="10" t="s">
        <v>16078</v>
      </c>
    </row>
    <row r="17195" spans="1:2" x14ac:dyDescent="0.3">
      <c r="A17195" s="7" t="str">
        <f>HYPERLINK("http://www.eatonpowersource.com/products/configure/motors/details/629ag00293a","629AG00293A")</f>
        <v>629AG00293A</v>
      </c>
      <c r="B17195" s="8" t="s">
        <v>16079</v>
      </c>
    </row>
    <row r="17196" spans="1:2" x14ac:dyDescent="0.3">
      <c r="A17196" s="9" t="str">
        <f>HYPERLINK("http://www.eatonpowersource.com/products/configure/motors/details/629ag00294a","629AG00294A")</f>
        <v>629AG00294A</v>
      </c>
      <c r="B17196" s="10" t="s">
        <v>16080</v>
      </c>
    </row>
    <row r="17197" spans="1:2" x14ac:dyDescent="0.3">
      <c r="A17197" s="7" t="str">
        <f>HYPERLINK("http://www.eatonpowersource.com/products/configure/motors/details/629ag00295a","629AG00295A")</f>
        <v>629AG00295A</v>
      </c>
      <c r="B17197" s="8" t="s">
        <v>16081</v>
      </c>
    </row>
    <row r="17198" spans="1:2" x14ac:dyDescent="0.3">
      <c r="A17198" s="9" t="str">
        <f>HYPERLINK("http://www.eatonpowersource.com/products/configure/motors/details/629ag00296a","629AG00296A")</f>
        <v>629AG00296A</v>
      </c>
      <c r="B17198" s="10" t="s">
        <v>16082</v>
      </c>
    </row>
    <row r="17199" spans="1:2" x14ac:dyDescent="0.3">
      <c r="A17199" s="7" t="str">
        <f>HYPERLINK("http://www.eatonpowersource.com/products/configure/motors/details/629ag00319a","629AG00319A")</f>
        <v>629AG00319A</v>
      </c>
      <c r="B17199" s="8" t="s">
        <v>16083</v>
      </c>
    </row>
    <row r="17200" spans="1:2" x14ac:dyDescent="0.3">
      <c r="A17200" s="9" t="str">
        <f>HYPERLINK("http://www.eatonpowersource.com/products/configure/motors/details/629ag00320a","629AG00320A")</f>
        <v>629AG00320A</v>
      </c>
      <c r="B17200" s="10" t="s">
        <v>16084</v>
      </c>
    </row>
    <row r="17201" spans="1:2" x14ac:dyDescent="0.3">
      <c r="A17201" s="7" t="str">
        <f>HYPERLINK("http://www.eatonpowersource.com/products/configure/motors/details/629ag00321a","629AG00321A")</f>
        <v>629AG00321A</v>
      </c>
      <c r="B17201" s="8" t="s">
        <v>16085</v>
      </c>
    </row>
    <row r="17202" spans="1:2" x14ac:dyDescent="0.3">
      <c r="A17202" s="9" t="str">
        <f>HYPERLINK("http://www.eatonpowersource.com/products/configure/motors/details/629ag00344a","629AG00344A")</f>
        <v>629AG00344A</v>
      </c>
      <c r="B17202" s="10" t="s">
        <v>16086</v>
      </c>
    </row>
    <row r="17203" spans="1:2" x14ac:dyDescent="0.3">
      <c r="A17203" s="7" t="str">
        <f>HYPERLINK("http://www.eatonpowersource.com/products/configure/motors/details/629ag00346a","629AG00346A")</f>
        <v>629AG00346A</v>
      </c>
      <c r="B17203" s="8" t="s">
        <v>16087</v>
      </c>
    </row>
    <row r="17204" spans="1:2" x14ac:dyDescent="0.3">
      <c r="A17204" s="9" t="str">
        <f>HYPERLINK("http://www.eatonpowersource.com/products/configure/motors/details/629ag00348a","629AG00348A")</f>
        <v>629AG00348A</v>
      </c>
      <c r="B17204" s="10" t="s">
        <v>16088</v>
      </c>
    </row>
    <row r="17205" spans="1:2" x14ac:dyDescent="0.3">
      <c r="A17205" s="7" t="str">
        <f>HYPERLINK("http://www.eatonpowersource.com/products/configure/motors/details/629ag00349a","629AG00349A")</f>
        <v>629AG00349A</v>
      </c>
      <c r="B17205" s="8" t="s">
        <v>16089</v>
      </c>
    </row>
    <row r="17206" spans="1:2" x14ac:dyDescent="0.3">
      <c r="A17206" s="9" t="str">
        <f>HYPERLINK("http://www.eatonpowersource.com/products/configure/motors/details/629ag00350a","629AG00350A")</f>
        <v>629AG00350A</v>
      </c>
      <c r="B17206" s="10" t="s">
        <v>16090</v>
      </c>
    </row>
    <row r="17207" spans="1:2" x14ac:dyDescent="0.3">
      <c r="A17207" s="7" t="str">
        <f>HYPERLINK("http://www.eatonpowersource.com/products/configure/motors/details/629ag00387a","629AG00387A")</f>
        <v>629AG00387A</v>
      </c>
      <c r="B17207" s="8" t="s">
        <v>16091</v>
      </c>
    </row>
    <row r="17208" spans="1:2" x14ac:dyDescent="0.3">
      <c r="A17208" s="9" t="str">
        <f>HYPERLINK("http://www.eatonpowersource.com/products/configure/motors/details/629ag00388a","629AG00388A")</f>
        <v>629AG00388A</v>
      </c>
      <c r="B17208" s="10" t="s">
        <v>16092</v>
      </c>
    </row>
    <row r="17209" spans="1:2" x14ac:dyDescent="0.3">
      <c r="A17209" s="7" t="str">
        <f>HYPERLINK("http://www.eatonpowersource.com/products/configure/motors/details/629ag00389a","629AG00389A")</f>
        <v>629AG00389A</v>
      </c>
      <c r="B17209" s="8" t="s">
        <v>16093</v>
      </c>
    </row>
    <row r="17210" spans="1:2" x14ac:dyDescent="0.3">
      <c r="A17210" s="9" t="str">
        <f>HYPERLINK("http://www.eatonpowersource.com/products/configure/motors/details/629ag00390a","629AG00390A")</f>
        <v>629AG00390A</v>
      </c>
      <c r="B17210" s="10" t="s">
        <v>16094</v>
      </c>
    </row>
    <row r="17211" spans="1:2" x14ac:dyDescent="0.3">
      <c r="A17211" s="7" t="str">
        <f>HYPERLINK("http://www.eatonpowersource.com/products/configure/motors/details/629ag00391a","629AG00391A")</f>
        <v>629AG00391A</v>
      </c>
      <c r="B17211" s="8" t="s">
        <v>16095</v>
      </c>
    </row>
    <row r="17212" spans="1:2" x14ac:dyDescent="0.3">
      <c r="A17212" s="9" t="str">
        <f>HYPERLINK("http://www.eatonpowersource.com/products/configure/motors/details/629ag00392a","629AG00392A")</f>
        <v>629AG00392A</v>
      </c>
      <c r="B17212" s="10" t="s">
        <v>16096</v>
      </c>
    </row>
    <row r="17213" spans="1:2" x14ac:dyDescent="0.3">
      <c r="A17213" s="7" t="str">
        <f>HYPERLINK("http://www.eatonpowersource.com/products/configure/motors/details/629ag00393a","629AG00393A")</f>
        <v>629AG00393A</v>
      </c>
      <c r="B17213" s="8" t="s">
        <v>16097</v>
      </c>
    </row>
    <row r="17214" spans="1:2" x14ac:dyDescent="0.3">
      <c r="A17214" s="9" t="str">
        <f>HYPERLINK("http://www.eatonpowersource.com/products/configure/motors/details/629ag00394a","629AG00394A")</f>
        <v>629AG00394A</v>
      </c>
      <c r="B17214" s="10" t="s">
        <v>16098</v>
      </c>
    </row>
    <row r="17215" spans="1:2" x14ac:dyDescent="0.3">
      <c r="A17215" s="7" t="str">
        <f>HYPERLINK("http://www.eatonpowersource.com/products/configure/motors/details/629ag00395a","629AG00395A")</f>
        <v>629AG00395A</v>
      </c>
      <c r="B17215" s="8" t="s">
        <v>16099</v>
      </c>
    </row>
    <row r="17216" spans="1:2" x14ac:dyDescent="0.3">
      <c r="A17216" s="9" t="str">
        <f>HYPERLINK("http://www.eatonpowersource.com/products/configure/motors/details/629ag00396a","629AG00396A")</f>
        <v>629AG00396A</v>
      </c>
      <c r="B17216" s="10" t="s">
        <v>16100</v>
      </c>
    </row>
    <row r="17217" spans="1:2" x14ac:dyDescent="0.3">
      <c r="A17217" s="7" t="str">
        <f>HYPERLINK("http://www.eatonpowersource.com/products/configure/motors/details/629ag00419a","629AG00419A")</f>
        <v>629AG00419A</v>
      </c>
      <c r="B17217" s="8" t="s">
        <v>16101</v>
      </c>
    </row>
    <row r="17218" spans="1:2" x14ac:dyDescent="0.3">
      <c r="A17218" s="9" t="str">
        <f>HYPERLINK("http://www.eatonpowersource.com/products/configure/motors/details/629ag00421a","629AG00421A")</f>
        <v>629AG00421A</v>
      </c>
      <c r="B17218" s="10" t="s">
        <v>16102</v>
      </c>
    </row>
    <row r="17219" spans="1:2" x14ac:dyDescent="0.3">
      <c r="A17219" s="7" t="str">
        <f>HYPERLINK("http://www.eatonpowersource.com/products/configure/motors/details/629ag00422a","629AG00422A")</f>
        <v>629AG00422A</v>
      </c>
      <c r="B17219" s="8" t="s">
        <v>16103</v>
      </c>
    </row>
    <row r="17220" spans="1:2" x14ac:dyDescent="0.3">
      <c r="A17220" s="9" t="str">
        <f>HYPERLINK("http://www.eatonpowersource.com/products/configure/motors/details/629ag00423a","629AG00423A")</f>
        <v>629AG00423A</v>
      </c>
      <c r="B17220" s="10" t="s">
        <v>16104</v>
      </c>
    </row>
    <row r="17221" spans="1:2" x14ac:dyDescent="0.3">
      <c r="A17221" s="7" t="str">
        <f>HYPERLINK("http://www.eatonpowersource.com/products/configure/motors/details/629ag00424a","629AG00424A")</f>
        <v>629AG00424A</v>
      </c>
      <c r="B17221" s="8" t="s">
        <v>16105</v>
      </c>
    </row>
    <row r="17222" spans="1:2" x14ac:dyDescent="0.3">
      <c r="A17222" s="9" t="str">
        <f>HYPERLINK("http://www.eatonpowersource.com/products/configure/motors/details/629ag00425a","629AG00425A")</f>
        <v>629AG00425A</v>
      </c>
      <c r="B17222" s="10" t="s">
        <v>16106</v>
      </c>
    </row>
    <row r="17223" spans="1:2" x14ac:dyDescent="0.3">
      <c r="A17223" s="7" t="str">
        <f>HYPERLINK("http://www.eatonpowersource.com/products/configure/motors/details/629ag00426a","629AG00426A")</f>
        <v>629AG00426A</v>
      </c>
      <c r="B17223" s="8" t="s">
        <v>16107</v>
      </c>
    </row>
    <row r="17224" spans="1:2" x14ac:dyDescent="0.3">
      <c r="A17224" s="9" t="str">
        <f>HYPERLINK("http://www.eatonpowersource.com/products/configure/motors/details/629ag00427a","629AG00427A")</f>
        <v>629AG00427A</v>
      </c>
      <c r="B17224" s="10" t="s">
        <v>16108</v>
      </c>
    </row>
    <row r="17225" spans="1:2" x14ac:dyDescent="0.3">
      <c r="A17225" s="7" t="str">
        <f>HYPERLINK("http://www.eatonpowersource.com/products/configure/motors/details/629ag00428a","629AG00428A")</f>
        <v>629AG00428A</v>
      </c>
      <c r="B17225" s="8" t="s">
        <v>16109</v>
      </c>
    </row>
    <row r="17226" spans="1:2" x14ac:dyDescent="0.3">
      <c r="A17226" s="9" t="str">
        <f>HYPERLINK("http://www.eatonpowersource.com/products/configure/motors/details/629ag00429a","629AG00429A")</f>
        <v>629AG00429A</v>
      </c>
      <c r="B17226" s="10" t="s">
        <v>16110</v>
      </c>
    </row>
    <row r="17227" spans="1:2" x14ac:dyDescent="0.3">
      <c r="A17227" s="7" t="str">
        <f>HYPERLINK("http://www.eatonpowersource.com/products/configure/motors/details/630ag00010a","630AG00010A")</f>
        <v>630AG00010A</v>
      </c>
      <c r="B17227" s="8" t="s">
        <v>16111</v>
      </c>
    </row>
    <row r="17228" spans="1:2" x14ac:dyDescent="0.3">
      <c r="A17228" s="9" t="str">
        <f>HYPERLINK("http://www.eatonpowersource.com/products/configure/motors/details/630ag00011a","630AG00011A")</f>
        <v>630AG00011A</v>
      </c>
      <c r="B17228" s="10" t="s">
        <v>16112</v>
      </c>
    </row>
    <row r="17229" spans="1:2" x14ac:dyDescent="0.3">
      <c r="A17229" s="7" t="str">
        <f>HYPERLINK("http://www.eatonpowersource.com/products/configure/motors/details/630ag00012a","630AG00012A")</f>
        <v>630AG00012A</v>
      </c>
      <c r="B17229" s="8" t="s">
        <v>16113</v>
      </c>
    </row>
    <row r="17230" spans="1:2" x14ac:dyDescent="0.3">
      <c r="A17230" s="9" t="str">
        <f>HYPERLINK("http://www.eatonpowersource.com/products/configure/motors/details/630ag00013a","630AG00013A")</f>
        <v>630AG00013A</v>
      </c>
      <c r="B17230" s="10" t="s">
        <v>16114</v>
      </c>
    </row>
    <row r="17231" spans="1:2" x14ac:dyDescent="0.3">
      <c r="A17231" s="7" t="str">
        <f>HYPERLINK("http://www.eatonpowersource.com/products/configure/motors/details/630ag00014a","630AG00014A")</f>
        <v>630AG00014A</v>
      </c>
      <c r="B17231" s="8" t="s">
        <v>16115</v>
      </c>
    </row>
    <row r="17232" spans="1:2" x14ac:dyDescent="0.3">
      <c r="A17232" s="9" t="str">
        <f>HYPERLINK("http://www.eatonpowersource.com/products/configure/motors/details/630ag00015a","630AG00015A")</f>
        <v>630AG00015A</v>
      </c>
      <c r="B17232" s="10" t="s">
        <v>16116</v>
      </c>
    </row>
    <row r="17233" spans="1:2" x14ac:dyDescent="0.3">
      <c r="A17233" s="7" t="str">
        <f>HYPERLINK("http://www.eatonpowersource.com/products/configure/motors/details/630ag00016a","630AG00016A")</f>
        <v>630AG00016A</v>
      </c>
      <c r="B17233" s="8" t="s">
        <v>16117</v>
      </c>
    </row>
    <row r="17234" spans="1:2" x14ac:dyDescent="0.3">
      <c r="A17234" s="9" t="str">
        <f>HYPERLINK("http://www.eatonpowersource.com/products/configure/motors/details/630ag00017a","630AG00017A")</f>
        <v>630AG00017A</v>
      </c>
      <c r="B17234" s="10" t="s">
        <v>16118</v>
      </c>
    </row>
    <row r="17235" spans="1:2" x14ac:dyDescent="0.3">
      <c r="A17235" s="7" t="str">
        <f>HYPERLINK("http://www.eatonpowersource.com/products/configure/motors/details/630ag00018a","630AG00018A")</f>
        <v>630AG00018A</v>
      </c>
      <c r="B17235" s="8" t="s">
        <v>16119</v>
      </c>
    </row>
    <row r="17236" spans="1:2" x14ac:dyDescent="0.3">
      <c r="A17236" s="9" t="str">
        <f>HYPERLINK("http://www.eatonpowersource.com/products/configure/motors/details/630ag00019a","630AG00019A")</f>
        <v>630AG00019A</v>
      </c>
      <c r="B17236" s="10" t="s">
        <v>16120</v>
      </c>
    </row>
    <row r="17237" spans="1:2" x14ac:dyDescent="0.3">
      <c r="A17237" s="7" t="str">
        <f>HYPERLINK("http://www.eatonpowersource.com/products/configure/motors/details/630ag00020a","630AG00020A")</f>
        <v>630AG00020A</v>
      </c>
      <c r="B17237" s="8" t="s">
        <v>16121</v>
      </c>
    </row>
    <row r="17238" spans="1:2" x14ac:dyDescent="0.3">
      <c r="A17238" s="9" t="str">
        <f>HYPERLINK("http://www.eatonpowersource.com/products/configure/motors/details/630ag00021a","630AG00021A")</f>
        <v>630AG00021A</v>
      </c>
      <c r="B17238" s="10" t="s">
        <v>16122</v>
      </c>
    </row>
    <row r="17239" spans="1:2" x14ac:dyDescent="0.3">
      <c r="A17239" s="7" t="str">
        <f>HYPERLINK("http://www.eatonpowersource.com/products/configure/motors/details/630ag00022a","630AG00022A")</f>
        <v>630AG00022A</v>
      </c>
      <c r="B17239" s="8" t="s">
        <v>16123</v>
      </c>
    </row>
    <row r="17240" spans="1:2" x14ac:dyDescent="0.3">
      <c r="A17240" s="9" t="str">
        <f>HYPERLINK("http://www.eatonpowersource.com/products/configure/motors/details/630ag00023a","630AG00023A")</f>
        <v>630AG00023A</v>
      </c>
      <c r="B17240" s="10" t="s">
        <v>16124</v>
      </c>
    </row>
    <row r="17241" spans="1:2" x14ac:dyDescent="0.3">
      <c r="A17241" s="7" t="str">
        <f>HYPERLINK("http://www.eatonpowersource.com/products/configure/motors/details/630ag00024a","630AG00024A")</f>
        <v>630AG00024A</v>
      </c>
      <c r="B17241" s="8" t="s">
        <v>16125</v>
      </c>
    </row>
    <row r="17242" spans="1:2" x14ac:dyDescent="0.3">
      <c r="A17242" s="9" t="str">
        <f>HYPERLINK("http://www.eatonpowersource.com/products/configure/motors/details/630ag00025a","630AG00025A")</f>
        <v>630AG00025A</v>
      </c>
      <c r="B17242" s="10" t="s">
        <v>16126</v>
      </c>
    </row>
    <row r="17243" spans="1:2" x14ac:dyDescent="0.3">
      <c r="A17243" s="7" t="str">
        <f>HYPERLINK("http://www.eatonpowersource.com/products/configure/motors/details/630ag00026a","630AG00026A")</f>
        <v>630AG00026A</v>
      </c>
      <c r="B17243" s="8" t="s">
        <v>16127</v>
      </c>
    </row>
    <row r="17244" spans="1:2" x14ac:dyDescent="0.3">
      <c r="A17244" s="9" t="str">
        <f>HYPERLINK("http://www.eatonpowersource.com/products/configure/motors/details/630ag00027a","630AG00027A")</f>
        <v>630AG00027A</v>
      </c>
      <c r="B17244" s="10" t="s">
        <v>16128</v>
      </c>
    </row>
    <row r="17245" spans="1:2" x14ac:dyDescent="0.3">
      <c r="A17245" s="7" t="str">
        <f>HYPERLINK("http://www.eatonpowersource.com/products/configure/motors/details/630ag00031a","630AG00031A")</f>
        <v>630AG00031A</v>
      </c>
      <c r="B17245" s="8" t="s">
        <v>16129</v>
      </c>
    </row>
    <row r="17246" spans="1:2" x14ac:dyDescent="0.3">
      <c r="A17246" s="9" t="str">
        <f>HYPERLINK("http://www.eatonpowersource.com/products/configure/motors/details/630ag00035a","630AG00035A")</f>
        <v>630AG00035A</v>
      </c>
      <c r="B17246" s="10" t="s">
        <v>16130</v>
      </c>
    </row>
    <row r="17247" spans="1:2" x14ac:dyDescent="0.3">
      <c r="A17247" s="7" t="str">
        <f>HYPERLINK("http://www.eatonpowersource.com/products/configure/motors/details/631ag00010a","631AG00010A")</f>
        <v>631AG00010A</v>
      </c>
      <c r="B17247" s="8" t="s">
        <v>16131</v>
      </c>
    </row>
    <row r="17248" spans="1:2" x14ac:dyDescent="0.3">
      <c r="A17248" s="9" t="str">
        <f>HYPERLINK("http://www.eatonpowersource.com/products/configure/motors/details/631ag00011a","631AG00011A")</f>
        <v>631AG00011A</v>
      </c>
      <c r="B17248" s="10" t="s">
        <v>16132</v>
      </c>
    </row>
    <row r="17249" spans="1:2" x14ac:dyDescent="0.3">
      <c r="A17249" s="7" t="str">
        <f>HYPERLINK("http://www.eatonpowersource.com/products/configure/motors/details/631ag00012a","631AG00012A")</f>
        <v>631AG00012A</v>
      </c>
      <c r="B17249" s="8" t="s">
        <v>16133</v>
      </c>
    </row>
    <row r="17250" spans="1:2" x14ac:dyDescent="0.3">
      <c r="A17250" s="9" t="str">
        <f>HYPERLINK("http://www.eatonpowersource.com/products/configure/motors/details/631ag00013a","631AG00013A")</f>
        <v>631AG00013A</v>
      </c>
      <c r="B17250" s="10" t="s">
        <v>16134</v>
      </c>
    </row>
    <row r="17251" spans="1:2" x14ac:dyDescent="0.3">
      <c r="A17251" s="7" t="str">
        <f>HYPERLINK("http://www.eatonpowersource.com/products/configure/motors/details/631ag00014a","631AG00014A")</f>
        <v>631AG00014A</v>
      </c>
      <c r="B17251" s="8" t="s">
        <v>16135</v>
      </c>
    </row>
    <row r="17252" spans="1:2" x14ac:dyDescent="0.3">
      <c r="A17252" s="9" t="str">
        <f>HYPERLINK("http://www.eatonpowersource.com/products/configure/motors/details/631ag00015a","631AG00015A")</f>
        <v>631AG00015A</v>
      </c>
      <c r="B17252" s="10" t="s">
        <v>16136</v>
      </c>
    </row>
    <row r="17253" spans="1:2" x14ac:dyDescent="0.3">
      <c r="A17253" s="7" t="str">
        <f>HYPERLINK("http://www.eatonpowersource.com/products/configure/motors/details/631ag00016a","631AG00016A")</f>
        <v>631AG00016A</v>
      </c>
      <c r="B17253" s="8" t="s">
        <v>16137</v>
      </c>
    </row>
    <row r="17254" spans="1:2" x14ac:dyDescent="0.3">
      <c r="A17254" s="9" t="str">
        <f>HYPERLINK("http://www.eatonpowersource.com/products/configure/motors/details/631ag00017a","631AG00017A")</f>
        <v>631AG00017A</v>
      </c>
      <c r="B17254" s="10" t="s">
        <v>16138</v>
      </c>
    </row>
    <row r="17255" spans="1:2" x14ac:dyDescent="0.3">
      <c r="A17255" s="7" t="str">
        <f>HYPERLINK("http://www.eatonpowersource.com/products/configure/motors/details/631ag00018a","631AG00018A")</f>
        <v>631AG00018A</v>
      </c>
      <c r="B17255" s="8" t="s">
        <v>16139</v>
      </c>
    </row>
    <row r="17256" spans="1:2" x14ac:dyDescent="0.3">
      <c r="A17256" s="9" t="str">
        <f>HYPERLINK("http://www.eatonpowersource.com/products/configure/motors/details/016-0010-002","016-0010-002")</f>
        <v>016-0010-002</v>
      </c>
      <c r="B17256" s="10" t="s">
        <v>16140</v>
      </c>
    </row>
    <row r="17257" spans="1:2" x14ac:dyDescent="0.3">
      <c r="A17257" s="7" t="str">
        <f>HYPERLINK("http://www.eatonpowersource.com/products/configure/motors/details/016-0011-002","016-0011-002")</f>
        <v>016-0011-002</v>
      </c>
      <c r="B17257" s="8" t="s">
        <v>16141</v>
      </c>
    </row>
    <row r="17258" spans="1:2" x14ac:dyDescent="0.3">
      <c r="A17258" s="9" t="str">
        <f>HYPERLINK("http://www.eatonpowersource.com/products/configure/motors/details/016-0012-002","016-0012-002")</f>
        <v>016-0012-002</v>
      </c>
      <c r="B17258" s="10" t="s">
        <v>16142</v>
      </c>
    </row>
    <row r="17259" spans="1:2" x14ac:dyDescent="0.3">
      <c r="A17259" s="7" t="str">
        <f>HYPERLINK("http://www.eatonpowersource.com/products/configure/motors/details/016-0013-002","016-0013-002")</f>
        <v>016-0013-002</v>
      </c>
      <c r="B17259" s="8" t="s">
        <v>16143</v>
      </c>
    </row>
    <row r="17260" spans="1:2" x14ac:dyDescent="0.3">
      <c r="A17260" s="9" t="str">
        <f>HYPERLINK("http://www.eatonpowersource.com/products/configure/motors/details/016-0014-002","016-0014-002")</f>
        <v>016-0014-002</v>
      </c>
      <c r="B17260" s="10" t="s">
        <v>16144</v>
      </c>
    </row>
    <row r="17261" spans="1:2" x14ac:dyDescent="0.3">
      <c r="A17261" s="7" t="str">
        <f>HYPERLINK("http://www.eatonpowersource.com/products/configure/motors/details/016-0015-002","016-0015-002")</f>
        <v>016-0015-002</v>
      </c>
      <c r="B17261" s="8" t="s">
        <v>16145</v>
      </c>
    </row>
    <row r="17262" spans="1:2" x14ac:dyDescent="0.3">
      <c r="A17262" s="9" t="str">
        <f>HYPERLINK("http://www.eatonpowersource.com/products/configure/motors/details/016-0016-002","016-0016-002")</f>
        <v>016-0016-002</v>
      </c>
      <c r="B17262" s="10" t="s">
        <v>16146</v>
      </c>
    </row>
    <row r="17263" spans="1:2" x14ac:dyDescent="0.3">
      <c r="A17263" s="7" t="str">
        <f>HYPERLINK("http://www.eatonpowersource.com/products/configure/motors/details/016-0017-002","016-0017-002")</f>
        <v>016-0017-002</v>
      </c>
      <c r="B17263" s="8" t="s">
        <v>16147</v>
      </c>
    </row>
    <row r="17264" spans="1:2" x14ac:dyDescent="0.3">
      <c r="A17264" s="9" t="str">
        <f>HYPERLINK("http://www.eatonpowersource.com/products/configure/motors/details/016-0018-002","016-0018-002")</f>
        <v>016-0018-002</v>
      </c>
      <c r="B17264" s="10" t="s">
        <v>16148</v>
      </c>
    </row>
    <row r="17265" spans="1:2" x14ac:dyDescent="0.3">
      <c r="A17265" s="7" t="str">
        <f>HYPERLINK("http://www.eatonpowersource.com/products/configure/motors/details/016-0020-002","016-0020-002")</f>
        <v>016-0020-002</v>
      </c>
      <c r="B17265" s="8" t="s">
        <v>16149</v>
      </c>
    </row>
    <row r="17266" spans="1:2" x14ac:dyDescent="0.3">
      <c r="A17266" s="9" t="str">
        <f>HYPERLINK("http://www.eatonpowersource.com/products/configure/motors/details/016-0021-002","016-0021-002")</f>
        <v>016-0021-002</v>
      </c>
      <c r="B17266" s="10" t="s">
        <v>16150</v>
      </c>
    </row>
    <row r="17267" spans="1:2" x14ac:dyDescent="0.3">
      <c r="A17267" s="7" t="str">
        <f>HYPERLINK("http://www.eatonpowersource.com/products/configure/motors/details/016-0023-002","016-0023-002")</f>
        <v>016-0023-002</v>
      </c>
      <c r="B17267" s="8" t="s">
        <v>16151</v>
      </c>
    </row>
    <row r="17268" spans="1:2" x14ac:dyDescent="0.3">
      <c r="A17268" s="9" t="str">
        <f>HYPERLINK("http://www.eatonpowersource.com/products/configure/motors/details/016-0024-002","016-0024-002")</f>
        <v>016-0024-002</v>
      </c>
      <c r="B17268" s="10" t="s">
        <v>16152</v>
      </c>
    </row>
    <row r="17269" spans="1:2" x14ac:dyDescent="0.3">
      <c r="A17269" s="7" t="str">
        <f>HYPERLINK("http://www.eatonpowersource.com/products/configure/motors/details/016-0025-002","016-0025-002")</f>
        <v>016-0025-002</v>
      </c>
      <c r="B17269" s="8" t="s">
        <v>16153</v>
      </c>
    </row>
    <row r="17270" spans="1:2" x14ac:dyDescent="0.3">
      <c r="A17270" s="9" t="str">
        <f>HYPERLINK("http://www.eatonpowersource.com/products/configure/motors/details/016-0026-002","016-0026-002")</f>
        <v>016-0026-002</v>
      </c>
      <c r="B17270" s="10" t="s">
        <v>16154</v>
      </c>
    </row>
    <row r="17271" spans="1:2" x14ac:dyDescent="0.3">
      <c r="A17271" s="7" t="str">
        <f>HYPERLINK("http://www.eatonpowersource.com/products/configure/motors/details/016-0029-002","016-0029-002")</f>
        <v>016-0029-002</v>
      </c>
      <c r="B17271" s="8" t="s">
        <v>16155</v>
      </c>
    </row>
    <row r="17272" spans="1:2" x14ac:dyDescent="0.3">
      <c r="A17272" s="9" t="str">
        <f>HYPERLINK("http://www.eatonpowersource.com/products/configure/motors/details/016-0031-002","016-0031-002")</f>
        <v>016-0031-002</v>
      </c>
      <c r="B17272" s="10" t="s">
        <v>16156</v>
      </c>
    </row>
    <row r="17273" spans="1:2" x14ac:dyDescent="0.3">
      <c r="A17273" s="7" t="str">
        <f>HYPERLINK("http://www.eatonpowersource.com/products/configure/motors/details/016-0044-002","016-0044-002")</f>
        <v>016-0044-002</v>
      </c>
      <c r="B17273" s="8" t="s">
        <v>16157</v>
      </c>
    </row>
    <row r="17274" spans="1:2" x14ac:dyDescent="0.3">
      <c r="A17274" s="9" t="str">
        <f>HYPERLINK("http://www.eatonpowersource.com/products/configure/motors/details/016-0046-002","016-0046-002")</f>
        <v>016-0046-002</v>
      </c>
      <c r="B17274" s="10" t="s">
        <v>16158</v>
      </c>
    </row>
    <row r="17275" spans="1:2" x14ac:dyDescent="0.3">
      <c r="A17275" s="7" t="str">
        <f>HYPERLINK("http://www.eatonpowersource.com/products/configure/motors/details/016-0047-002","016-0047-002")</f>
        <v>016-0047-002</v>
      </c>
      <c r="B17275" s="8" t="s">
        <v>16159</v>
      </c>
    </row>
    <row r="17276" spans="1:2" x14ac:dyDescent="0.3">
      <c r="A17276" s="9" t="str">
        <f>HYPERLINK("http://www.eatonpowersource.com/products/configure/motors/details/016-0048-002","016-0048-002")</f>
        <v>016-0048-002</v>
      </c>
      <c r="B17276" s="10" t="s">
        <v>16160</v>
      </c>
    </row>
    <row r="17277" spans="1:2" x14ac:dyDescent="0.3">
      <c r="A17277" s="7" t="str">
        <f>HYPERLINK("http://www.eatonpowersource.com/products/configure/motors/details/016-0049-002","016-0049-002")</f>
        <v>016-0049-002</v>
      </c>
      <c r="B17277" s="8" t="s">
        <v>16161</v>
      </c>
    </row>
    <row r="17278" spans="1:2" x14ac:dyDescent="0.3">
      <c r="A17278" s="9" t="str">
        <f>HYPERLINK("http://www.eatonpowersource.com/products/configure/motors/details/016-0050-002","016-0050-002")</f>
        <v>016-0050-002</v>
      </c>
      <c r="B17278" s="10" t="s">
        <v>16162</v>
      </c>
    </row>
    <row r="17279" spans="1:2" x14ac:dyDescent="0.3">
      <c r="A17279" s="7" t="str">
        <f>HYPERLINK("http://www.eatonpowersource.com/products/configure/motors/details/016-0051-002","016-0051-002")</f>
        <v>016-0051-002</v>
      </c>
      <c r="B17279" s="8" t="s">
        <v>16163</v>
      </c>
    </row>
    <row r="17280" spans="1:2" x14ac:dyDescent="0.3">
      <c r="A17280" s="9" t="str">
        <f>HYPERLINK("http://www.eatonpowersource.com/products/configure/motors/details/016-0052-002","016-0052-002")</f>
        <v>016-0052-002</v>
      </c>
      <c r="B17280" s="10" t="s">
        <v>16164</v>
      </c>
    </row>
    <row r="17281" spans="1:2" x14ac:dyDescent="0.3">
      <c r="A17281" s="7" t="str">
        <f>HYPERLINK("http://www.eatonpowersource.com/products/configure/motors/details/016-0053-002","016-0053-002")</f>
        <v>016-0053-002</v>
      </c>
      <c r="B17281" s="8" t="s">
        <v>16165</v>
      </c>
    </row>
    <row r="17282" spans="1:2" x14ac:dyDescent="0.3">
      <c r="A17282" s="9" t="str">
        <f>HYPERLINK("http://www.eatonpowersource.com/products/configure/motors/details/016-0054-002","016-0054-002")</f>
        <v>016-0054-002</v>
      </c>
      <c r="B17282" s="10" t="s">
        <v>16166</v>
      </c>
    </row>
    <row r="17283" spans="1:2" x14ac:dyDescent="0.3">
      <c r="A17283" s="7" t="str">
        <f>HYPERLINK("http://www.eatonpowersource.com/products/configure/motors/details/016-0059-002","016-0059-002")</f>
        <v>016-0059-002</v>
      </c>
      <c r="B17283" s="8" t="s">
        <v>16167</v>
      </c>
    </row>
    <row r="17284" spans="1:2" x14ac:dyDescent="0.3">
      <c r="A17284" s="9" t="str">
        <f>HYPERLINK("http://www.eatonpowersource.com/products/configure/motors/details/016-0064-002","016-0064-002")</f>
        <v>016-0064-002</v>
      </c>
      <c r="B17284" s="10" t="s">
        <v>16168</v>
      </c>
    </row>
    <row r="17285" spans="1:2" x14ac:dyDescent="0.3">
      <c r="A17285" s="7" t="str">
        <f>HYPERLINK("http://www.eatonpowersource.com/products/configure/motors/details/016-0078-002","016-0078-002")</f>
        <v>016-0078-002</v>
      </c>
      <c r="B17285" s="8" t="s">
        <v>16169</v>
      </c>
    </row>
    <row r="17286" spans="1:2" x14ac:dyDescent="0.3">
      <c r="A17286" s="9" t="str">
        <f>HYPERLINK("http://www.eatonpowersource.com/products/configure/motors/details/016-0087-002","016-0087-002")</f>
        <v>016-0087-002</v>
      </c>
      <c r="B17286" s="10" t="s">
        <v>16170</v>
      </c>
    </row>
    <row r="17287" spans="1:2" x14ac:dyDescent="0.3">
      <c r="A17287" s="7" t="str">
        <f>HYPERLINK("http://www.eatonpowersource.com/products/configure/motors/details/016-0092-002","016-0092-002")</f>
        <v>016-0092-002</v>
      </c>
      <c r="B17287" s="8" t="s">
        <v>16171</v>
      </c>
    </row>
    <row r="17288" spans="1:2" x14ac:dyDescent="0.3">
      <c r="A17288" s="9" t="str">
        <f>HYPERLINK("http://www.eatonpowersource.com/products/configure/motors/details/016-0093-002","016-0093-002")</f>
        <v>016-0093-002</v>
      </c>
      <c r="B17288" s="10" t="s">
        <v>16172</v>
      </c>
    </row>
    <row r="17289" spans="1:2" x14ac:dyDescent="0.3">
      <c r="A17289" s="7" t="str">
        <f>HYPERLINK("http://www.eatonpowersource.com/products/configure/motors/details/016-0094-002","016-0094-002")</f>
        <v>016-0094-002</v>
      </c>
      <c r="B17289" s="8" t="s">
        <v>16173</v>
      </c>
    </row>
    <row r="17290" spans="1:2" x14ac:dyDescent="0.3">
      <c r="A17290" s="9" t="str">
        <f>HYPERLINK("http://www.eatonpowersource.com/products/configure/motors/details/016-0095-002","016-0095-002")</f>
        <v>016-0095-002</v>
      </c>
      <c r="B17290" s="10" t="s">
        <v>16174</v>
      </c>
    </row>
    <row r="17291" spans="1:2" x14ac:dyDescent="0.3">
      <c r="A17291" s="7" t="str">
        <f>HYPERLINK("http://www.eatonpowersource.com/products/configure/motors/details/016-0096-002","016-0096-002")</f>
        <v>016-0096-002</v>
      </c>
      <c r="B17291" s="8" t="s">
        <v>16175</v>
      </c>
    </row>
    <row r="17292" spans="1:2" x14ac:dyDescent="0.3">
      <c r="A17292" s="9" t="str">
        <f>HYPERLINK("http://www.eatonpowersource.com/products/configure/motors/details/016-0097-002","016-0097-002")</f>
        <v>016-0097-002</v>
      </c>
      <c r="B17292" s="10" t="s">
        <v>16176</v>
      </c>
    </row>
    <row r="17293" spans="1:2" x14ac:dyDescent="0.3">
      <c r="A17293" s="7" t="str">
        <f>HYPERLINK("http://www.eatonpowersource.com/products/configure/motors/details/016-0098-002","016-0098-002")</f>
        <v>016-0098-002</v>
      </c>
      <c r="B17293" s="8" t="s">
        <v>16177</v>
      </c>
    </row>
    <row r="17294" spans="1:2" x14ac:dyDescent="0.3">
      <c r="A17294" s="9" t="str">
        <f>HYPERLINK("http://www.eatonpowersource.com/products/configure/motors/details/016-0118-002","016-0118-002")</f>
        <v>016-0118-002</v>
      </c>
      <c r="B17294" s="10" t="s">
        <v>16178</v>
      </c>
    </row>
    <row r="17295" spans="1:2" x14ac:dyDescent="0.3">
      <c r="A17295" s="7" t="str">
        <f>HYPERLINK("http://www.eatonpowersource.com/products/configure/motors/details/016-0119-002","016-0119-002")</f>
        <v>016-0119-002</v>
      </c>
      <c r="B17295" s="8" t="s">
        <v>16179</v>
      </c>
    </row>
    <row r="17296" spans="1:2" x14ac:dyDescent="0.3">
      <c r="A17296" s="9" t="str">
        <f>HYPERLINK("http://www.eatonpowersource.com/products/configure/motors/details/016-0120-002","016-0120-002")</f>
        <v>016-0120-002</v>
      </c>
      <c r="B17296" s="10" t="s">
        <v>16180</v>
      </c>
    </row>
    <row r="17297" spans="1:2" x14ac:dyDescent="0.3">
      <c r="A17297" s="7" t="str">
        <f>HYPERLINK("http://www.eatonpowersource.com/products/configure/motors/details/016-0121-002","016-0121-002")</f>
        <v>016-0121-002</v>
      </c>
      <c r="B17297" s="8" t="s">
        <v>16181</v>
      </c>
    </row>
    <row r="17298" spans="1:2" x14ac:dyDescent="0.3">
      <c r="A17298" s="9" t="str">
        <f>HYPERLINK("http://www.eatonpowersource.com/products/configure/motors/details/016-0124-002","016-0124-002")</f>
        <v>016-0124-002</v>
      </c>
      <c r="B17298" s="10" t="s">
        <v>16182</v>
      </c>
    </row>
    <row r="17299" spans="1:2" x14ac:dyDescent="0.3">
      <c r="A17299" s="7" t="str">
        <f>HYPERLINK("http://www.eatonpowersource.com/products/configure/motors/details/016-0125-002","016-0125-002")</f>
        <v>016-0125-002</v>
      </c>
      <c r="B17299" s="8" t="s">
        <v>16183</v>
      </c>
    </row>
    <row r="17300" spans="1:2" x14ac:dyDescent="0.3">
      <c r="A17300" s="9" t="str">
        <f>HYPERLINK("http://www.eatonpowersource.com/products/configure/motors/details/016-0126-002","016-0126-002")</f>
        <v>016-0126-002</v>
      </c>
      <c r="B17300" s="10" t="s">
        <v>16184</v>
      </c>
    </row>
    <row r="17301" spans="1:2" x14ac:dyDescent="0.3">
      <c r="A17301" s="7" t="str">
        <f>HYPERLINK("http://www.eatonpowersource.com/products/configure/motors/details/016-0127-002","016-0127-002")</f>
        <v>016-0127-002</v>
      </c>
      <c r="B17301" s="8" t="s">
        <v>16185</v>
      </c>
    </row>
    <row r="17302" spans="1:2" x14ac:dyDescent="0.3">
      <c r="A17302" s="9" t="str">
        <f>HYPERLINK("http://www.eatonpowersource.com/products/configure/motors/details/016-0128-002","016-0128-002")</f>
        <v>016-0128-002</v>
      </c>
      <c r="B17302" s="10" t="s">
        <v>16186</v>
      </c>
    </row>
    <row r="17303" spans="1:2" x14ac:dyDescent="0.3">
      <c r="A17303" s="7" t="str">
        <f>HYPERLINK("http://www.eatonpowersource.com/products/configure/motors/details/016-0129-002","016-0129-002")</f>
        <v>016-0129-002</v>
      </c>
      <c r="B17303" s="8" t="s">
        <v>16187</v>
      </c>
    </row>
    <row r="17304" spans="1:2" x14ac:dyDescent="0.3">
      <c r="A17304" s="9" t="str">
        <f>HYPERLINK("http://www.eatonpowersource.com/products/configure/motors/details/016-0130-002","016-0130-002")</f>
        <v>016-0130-002</v>
      </c>
      <c r="B17304" s="10" t="s">
        <v>16188</v>
      </c>
    </row>
    <row r="17305" spans="1:2" x14ac:dyDescent="0.3">
      <c r="A17305" s="7" t="str">
        <f>HYPERLINK("http://www.eatonpowersource.com/products/configure/motors/details/016-0131-002","016-0131-002")</f>
        <v>016-0131-002</v>
      </c>
      <c r="B17305" s="8" t="s">
        <v>16189</v>
      </c>
    </row>
    <row r="17306" spans="1:2" x14ac:dyDescent="0.3">
      <c r="A17306" s="9" t="str">
        <f>HYPERLINK("http://www.eatonpowersource.com/products/configure/motors/details/016-0132-002","016-0132-002")</f>
        <v>016-0132-002</v>
      </c>
      <c r="B17306" s="10" t="s">
        <v>16190</v>
      </c>
    </row>
    <row r="17307" spans="1:2" x14ac:dyDescent="0.3">
      <c r="A17307" s="7" t="str">
        <f>HYPERLINK("http://www.eatonpowersource.com/products/configure/motors/details/016-0133-002","016-0133-002")</f>
        <v>016-0133-002</v>
      </c>
      <c r="B17307" s="8" t="s">
        <v>16191</v>
      </c>
    </row>
    <row r="17308" spans="1:2" x14ac:dyDescent="0.3">
      <c r="A17308" s="9" t="str">
        <f>HYPERLINK("http://www.eatonpowersource.com/products/configure/motors/details/016-0187-002","016-0187-002")</f>
        <v>016-0187-002</v>
      </c>
      <c r="B17308" s="10" t="s">
        <v>16192</v>
      </c>
    </row>
    <row r="17309" spans="1:2" x14ac:dyDescent="0.3">
      <c r="A17309" s="7" t="str">
        <f>HYPERLINK("http://www.eatonpowersource.com/products/configure/motors/details/016-0190-002","016-0190-002")</f>
        <v>016-0190-002</v>
      </c>
      <c r="B17309" s="8" t="s">
        <v>16193</v>
      </c>
    </row>
    <row r="17310" spans="1:2" x14ac:dyDescent="0.3">
      <c r="A17310" s="9" t="str">
        <f>HYPERLINK("http://www.eatonpowersource.com/products/configure/motors/details/016-0191-002","016-0191-002")</f>
        <v>016-0191-002</v>
      </c>
      <c r="B17310" s="10" t="s">
        <v>16194</v>
      </c>
    </row>
    <row r="17311" spans="1:2" x14ac:dyDescent="0.3">
      <c r="A17311" s="7" t="str">
        <f>HYPERLINK("http://www.eatonpowersource.com/products/configure/motors/details/016-0192-002","016-0192-002")</f>
        <v>016-0192-002</v>
      </c>
      <c r="B17311" s="8" t="s">
        <v>16195</v>
      </c>
    </row>
    <row r="17312" spans="1:2" x14ac:dyDescent="0.3">
      <c r="A17312" s="9" t="str">
        <f>HYPERLINK("http://www.eatonpowersource.com/products/configure/motors/details/016-0193-002","016-0193-002")</f>
        <v>016-0193-002</v>
      </c>
      <c r="B17312" s="10" t="s">
        <v>16196</v>
      </c>
    </row>
    <row r="17313" spans="1:2" x14ac:dyDescent="0.3">
      <c r="A17313" s="7" t="str">
        <f>HYPERLINK("http://www.eatonpowersource.com/products/configure/motors/details/016-0253-002","016-0253-002")</f>
        <v>016-0253-002</v>
      </c>
      <c r="B17313" s="8" t="s">
        <v>16197</v>
      </c>
    </row>
    <row r="17314" spans="1:2" x14ac:dyDescent="0.3">
      <c r="A17314" s="9" t="str">
        <f>HYPERLINK("http://www.eatonpowersource.com/products/configure/motors/details/016-0254-002","016-0254-002")</f>
        <v>016-0254-002</v>
      </c>
      <c r="B17314" s="10" t="s">
        <v>16198</v>
      </c>
    </row>
    <row r="17315" spans="1:2" x14ac:dyDescent="0.3">
      <c r="A17315" s="7" t="str">
        <f>HYPERLINK("http://www.eatonpowersource.com/products/configure/motors/details/016-0255-002","016-0255-002")</f>
        <v>016-0255-002</v>
      </c>
      <c r="B17315" s="8" t="s">
        <v>16199</v>
      </c>
    </row>
    <row r="17316" spans="1:2" x14ac:dyDescent="0.3">
      <c r="A17316" s="9" t="str">
        <f>HYPERLINK("http://www.eatonpowersource.com/products/configure/motors/details/016-0256-002","016-0256-002")</f>
        <v>016-0256-002</v>
      </c>
      <c r="B17316" s="10" t="s">
        <v>16200</v>
      </c>
    </row>
    <row r="17317" spans="1:2" x14ac:dyDescent="0.3">
      <c r="A17317" s="7" t="str">
        <f>HYPERLINK("http://www.eatonpowersource.com/products/configure/motors/details/016-0257-002","016-0257-002")</f>
        <v>016-0257-002</v>
      </c>
      <c r="B17317" s="8" t="s">
        <v>16201</v>
      </c>
    </row>
    <row r="17318" spans="1:2" x14ac:dyDescent="0.3">
      <c r="A17318" s="9" t="str">
        <f>HYPERLINK("http://www.eatonpowersource.com/products/configure/motors/details/016-0258-002","016-0258-002")</f>
        <v>016-0258-002</v>
      </c>
      <c r="B17318" s="10" t="s">
        <v>16202</v>
      </c>
    </row>
    <row r="17319" spans="1:2" x14ac:dyDescent="0.3">
      <c r="A17319" s="7" t="str">
        <f>HYPERLINK("http://www.eatonpowersource.com/products/configure/motors/details/016-0259-002","016-0259-002")</f>
        <v>016-0259-002</v>
      </c>
      <c r="B17319" s="8" t="s">
        <v>16203</v>
      </c>
    </row>
    <row r="17320" spans="1:2" x14ac:dyDescent="0.3">
      <c r="A17320" s="9" t="str">
        <f>HYPERLINK("http://www.eatonpowersource.com/products/configure/motors/details/016-0260-002","016-0260-002")</f>
        <v>016-0260-002</v>
      </c>
      <c r="B17320" s="10" t="s">
        <v>16204</v>
      </c>
    </row>
    <row r="17321" spans="1:2" x14ac:dyDescent="0.3">
      <c r="A17321" s="7" t="str">
        <f>HYPERLINK("http://www.eatonpowersource.com/products/configure/motors/details/016-0262-002","016-0262-002")</f>
        <v>016-0262-002</v>
      </c>
      <c r="B17321" s="8" t="s">
        <v>16205</v>
      </c>
    </row>
    <row r="17322" spans="1:2" x14ac:dyDescent="0.3">
      <c r="A17322" s="9" t="str">
        <f>HYPERLINK("http://www.eatonpowersource.com/products/configure/motors/details/016-0263-002","016-0263-002")</f>
        <v>016-0263-002</v>
      </c>
      <c r="B17322" s="10" t="s">
        <v>16206</v>
      </c>
    </row>
    <row r="17323" spans="1:2" x14ac:dyDescent="0.3">
      <c r="A17323" s="7" t="str">
        <f>HYPERLINK("http://www.eatonpowersource.com/products/configure/motors/details/016-0320-002","016-0320-002")</f>
        <v>016-0320-002</v>
      </c>
      <c r="B17323" s="8" t="s">
        <v>16207</v>
      </c>
    </row>
    <row r="17324" spans="1:2" x14ac:dyDescent="0.3">
      <c r="A17324" s="9" t="str">
        <f>HYPERLINK("http://www.eatonpowersource.com/products/configure/motors/details/016-0321-002","016-0321-002")</f>
        <v>016-0321-002</v>
      </c>
      <c r="B17324" s="10" t="s">
        <v>16208</v>
      </c>
    </row>
    <row r="17325" spans="1:2" x14ac:dyDescent="0.3">
      <c r="A17325" s="7" t="str">
        <f>HYPERLINK("http://www.eatonpowersource.com/products/configure/motors/details/016-0322-002","016-0322-002")</f>
        <v>016-0322-002</v>
      </c>
      <c r="B17325" s="8" t="s">
        <v>16209</v>
      </c>
    </row>
    <row r="17326" spans="1:2" x14ac:dyDescent="0.3">
      <c r="A17326" s="9" t="str">
        <f>HYPERLINK("http://www.eatonpowersource.com/products/configure/motors/details/016-0323-002","016-0323-002")</f>
        <v>016-0323-002</v>
      </c>
      <c r="B17326" s="10" t="s">
        <v>16210</v>
      </c>
    </row>
    <row r="17327" spans="1:2" x14ac:dyDescent="0.3">
      <c r="A17327" s="7" t="str">
        <f>HYPERLINK("http://www.eatonpowersource.com/products/configure/motors/details/016-0324-002","016-0324-002")</f>
        <v>016-0324-002</v>
      </c>
      <c r="B17327" s="8" t="s">
        <v>16211</v>
      </c>
    </row>
    <row r="17328" spans="1:2" x14ac:dyDescent="0.3">
      <c r="A17328" s="9" t="str">
        <f>HYPERLINK("http://www.eatonpowersource.com/products/configure/motors/details/016-0355-002","016-0355-002")</f>
        <v>016-0355-002</v>
      </c>
      <c r="B17328" s="10" t="s">
        <v>16212</v>
      </c>
    </row>
    <row r="17329" spans="1:2" x14ac:dyDescent="0.3">
      <c r="A17329" s="7" t="str">
        <f>HYPERLINK("http://www.eatonpowersource.com/products/configure/motors/details/016-0356-002","016-0356-002")</f>
        <v>016-0356-002</v>
      </c>
      <c r="B17329" s="8" t="s">
        <v>16213</v>
      </c>
    </row>
    <row r="17330" spans="1:2" x14ac:dyDescent="0.3">
      <c r="A17330" s="9" t="str">
        <f>HYPERLINK("http://www.eatonpowersource.com/products/configure/motors/details/016-0357-002","016-0357-002")</f>
        <v>016-0357-002</v>
      </c>
      <c r="B17330" s="10" t="s">
        <v>16214</v>
      </c>
    </row>
    <row r="17331" spans="1:2" x14ac:dyDescent="0.3">
      <c r="A17331" s="7" t="str">
        <f>HYPERLINK("http://www.eatonpowersource.com/products/configure/motors/details/016-0358-002","016-0358-002")</f>
        <v>016-0358-002</v>
      </c>
      <c r="B17331" s="8" t="s">
        <v>16215</v>
      </c>
    </row>
    <row r="17332" spans="1:2" x14ac:dyDescent="0.3">
      <c r="A17332" s="9" t="str">
        <f>HYPERLINK("http://www.eatonpowersource.com/products/configure/motors/details/016-0359-002","016-0359-002")</f>
        <v>016-0359-002</v>
      </c>
      <c r="B17332" s="10" t="s">
        <v>16216</v>
      </c>
    </row>
    <row r="17333" spans="1:2" x14ac:dyDescent="0.3">
      <c r="A17333" s="7" t="str">
        <f>HYPERLINK("http://www.eatonpowersource.com/products/configure/motors/details/016-0360-002","016-0360-002")</f>
        <v>016-0360-002</v>
      </c>
      <c r="B17333" s="8" t="s">
        <v>16217</v>
      </c>
    </row>
    <row r="17334" spans="1:2" x14ac:dyDescent="0.3">
      <c r="A17334" s="9" t="str">
        <f>HYPERLINK("http://www.eatonpowersource.com/products/configure/motors/details/016-0361-002","016-0361-002")</f>
        <v>016-0361-002</v>
      </c>
      <c r="B17334" s="10" t="s">
        <v>16218</v>
      </c>
    </row>
    <row r="17335" spans="1:2" x14ac:dyDescent="0.3">
      <c r="A17335" s="7" t="str">
        <f>HYPERLINK("http://www.eatonpowersource.com/products/configure/motors/details/016-0362-002","016-0362-002")</f>
        <v>016-0362-002</v>
      </c>
      <c r="B17335" s="8" t="s">
        <v>16219</v>
      </c>
    </row>
    <row r="17336" spans="1:2" x14ac:dyDescent="0.3">
      <c r="A17336" s="9" t="str">
        <f>HYPERLINK("http://www.eatonpowersource.com/products/configure/motors/details/016-0363-002","016-0363-002")</f>
        <v>016-0363-002</v>
      </c>
      <c r="B17336" s="10" t="s">
        <v>16220</v>
      </c>
    </row>
    <row r="17337" spans="1:2" x14ac:dyDescent="0.3">
      <c r="A17337" s="7" t="str">
        <f>HYPERLINK("http://www.eatonpowersource.com/products/configure/motors/details/016-0364-002","016-0364-002")</f>
        <v>016-0364-002</v>
      </c>
      <c r="B17337" s="8" t="s">
        <v>16221</v>
      </c>
    </row>
    <row r="17338" spans="1:2" x14ac:dyDescent="0.3">
      <c r="A17338" s="9" t="str">
        <f>HYPERLINK("http://www.eatonpowersource.com/products/configure/motors/details/016-0365-002","016-0365-002")</f>
        <v>016-0365-002</v>
      </c>
      <c r="B17338" s="10" t="s">
        <v>16222</v>
      </c>
    </row>
    <row r="17339" spans="1:2" x14ac:dyDescent="0.3">
      <c r="A17339" s="7" t="str">
        <f>HYPERLINK("http://www.eatonpowersource.com/products/configure/motors/details/016-0396-002","016-0396-002")</f>
        <v>016-0396-002</v>
      </c>
      <c r="B17339" s="8" t="s">
        <v>16223</v>
      </c>
    </row>
    <row r="17340" spans="1:2" x14ac:dyDescent="0.3">
      <c r="A17340" s="9" t="str">
        <f>HYPERLINK("http://www.eatonpowersource.com/products/configure/motors/details/016-0397-002","016-0397-002")</f>
        <v>016-0397-002</v>
      </c>
      <c r="B17340" s="10" t="s">
        <v>16224</v>
      </c>
    </row>
    <row r="17341" spans="1:2" x14ac:dyDescent="0.3">
      <c r="A17341" s="7" t="str">
        <f>HYPERLINK("http://www.eatonpowersource.com/products/configure/motors/details/016-0400-002","016-0400-002")</f>
        <v>016-0400-002</v>
      </c>
      <c r="B17341" s="8" t="s">
        <v>16225</v>
      </c>
    </row>
    <row r="17342" spans="1:2" x14ac:dyDescent="0.3">
      <c r="A17342" s="9" t="str">
        <f>HYPERLINK("http://www.eatonpowersource.com/products/configure/motors/details/016-0401-002","016-0401-002")</f>
        <v>016-0401-002</v>
      </c>
      <c r="B17342" s="10" t="s">
        <v>16226</v>
      </c>
    </row>
    <row r="17343" spans="1:2" x14ac:dyDescent="0.3">
      <c r="A17343" s="7" t="str">
        <f>HYPERLINK("http://www.eatonpowersource.com/products/configure/motors/details/016-0402-002","016-0402-002")</f>
        <v>016-0402-002</v>
      </c>
      <c r="B17343" s="8" t="s">
        <v>16227</v>
      </c>
    </row>
    <row r="17344" spans="1:2" x14ac:dyDescent="0.3">
      <c r="A17344" s="9" t="str">
        <f>HYPERLINK("http://www.eatonpowersource.com/products/configure/motors/details/016-0439-002","016-0439-002")</f>
        <v>016-0439-002</v>
      </c>
      <c r="B17344" s="10" t="s">
        <v>16228</v>
      </c>
    </row>
    <row r="17345" spans="1:2" x14ac:dyDescent="0.3">
      <c r="A17345" s="7" t="str">
        <f>HYPERLINK("http://www.eatonpowersource.com/products/configure/motors/details/036-0001-002","036-0001-002")</f>
        <v>036-0001-002</v>
      </c>
      <c r="B17345" s="8" t="s">
        <v>16229</v>
      </c>
    </row>
    <row r="17346" spans="1:2" x14ac:dyDescent="0.3">
      <c r="A17346" s="9" t="str">
        <f>HYPERLINK("http://www.eatonpowersource.com/products/configure/motors/details/036-0002-002","036-0002-002")</f>
        <v>036-0002-002</v>
      </c>
      <c r="B17346" s="10" t="s">
        <v>16230</v>
      </c>
    </row>
    <row r="17347" spans="1:2" x14ac:dyDescent="0.3">
      <c r="A17347" s="7" t="str">
        <f>HYPERLINK("http://www.eatonpowersource.com/products/configure/motors/details/036-0003-002","036-0003-002")</f>
        <v>036-0003-002</v>
      </c>
      <c r="B17347" s="8" t="s">
        <v>16231</v>
      </c>
    </row>
    <row r="17348" spans="1:2" x14ac:dyDescent="0.3">
      <c r="A17348" s="9" t="str">
        <f>HYPERLINK("http://www.eatonpowersource.com/products/configure/motors/details/036-0004-002","036-0004-002")</f>
        <v>036-0004-002</v>
      </c>
      <c r="B17348" s="10" t="s">
        <v>16232</v>
      </c>
    </row>
    <row r="17349" spans="1:2" x14ac:dyDescent="0.3">
      <c r="A17349" s="7" t="str">
        <f>HYPERLINK("http://www.eatonpowersource.com/products/configure/motors/details/036-0005-002","036-0005-002")</f>
        <v>036-0005-002</v>
      </c>
      <c r="B17349" s="8" t="s">
        <v>16233</v>
      </c>
    </row>
    <row r="17350" spans="1:2" x14ac:dyDescent="0.3">
      <c r="A17350" s="9" t="str">
        <f>HYPERLINK("http://www.eatonpowersource.com/products/configure/motors/details/036-0006-002","036-0006-002")</f>
        <v>036-0006-002</v>
      </c>
      <c r="B17350" s="10" t="s">
        <v>16234</v>
      </c>
    </row>
    <row r="17351" spans="1:2" x14ac:dyDescent="0.3">
      <c r="A17351" s="7" t="str">
        <f>HYPERLINK("http://www.eatonpowersource.com/products/configure/motors/details/036-0007-002","036-0007-002")</f>
        <v>036-0007-002</v>
      </c>
      <c r="B17351" s="8" t="s">
        <v>16235</v>
      </c>
    </row>
    <row r="17352" spans="1:2" x14ac:dyDescent="0.3">
      <c r="A17352" s="9" t="str">
        <f>HYPERLINK("http://www.eatonpowersource.com/products/configure/motors/details/036-0008-002","036-0008-002")</f>
        <v>036-0008-002</v>
      </c>
      <c r="B17352" s="10" t="s">
        <v>16236</v>
      </c>
    </row>
    <row r="17353" spans="1:2" x14ac:dyDescent="0.3">
      <c r="A17353" s="7" t="str">
        <f>HYPERLINK("http://www.eatonpowersource.com/products/configure/motors/details/036-0009-002","036-0009-002")</f>
        <v>036-0009-002</v>
      </c>
      <c r="B17353" s="8" t="s">
        <v>16237</v>
      </c>
    </row>
    <row r="17354" spans="1:2" x14ac:dyDescent="0.3">
      <c r="A17354" s="9" t="str">
        <f>HYPERLINK("http://www.eatonpowersource.com/products/configure/motors/details/036-0010-002","036-0010-002")</f>
        <v>036-0010-002</v>
      </c>
      <c r="B17354" s="10" t="s">
        <v>16238</v>
      </c>
    </row>
    <row r="17355" spans="1:2" x14ac:dyDescent="0.3">
      <c r="A17355" s="7" t="str">
        <f>HYPERLINK("http://www.eatonpowersource.com/products/configure/motors/details/036-0011-002","036-0011-002")</f>
        <v>036-0011-002</v>
      </c>
      <c r="B17355" s="8" t="s">
        <v>16239</v>
      </c>
    </row>
    <row r="17356" spans="1:2" x14ac:dyDescent="0.3">
      <c r="A17356" s="9" t="str">
        <f>HYPERLINK("http://www.eatonpowersource.com/products/configure/motors/details/036-0012-002","036-0012-002")</f>
        <v>036-0012-002</v>
      </c>
      <c r="B17356" s="10" t="s">
        <v>16240</v>
      </c>
    </row>
    <row r="17357" spans="1:2" x14ac:dyDescent="0.3">
      <c r="A17357" s="7" t="str">
        <f>HYPERLINK("http://www.eatonpowersource.com/products/configure/motors/details/036-0013-002","036-0013-002")</f>
        <v>036-0013-002</v>
      </c>
      <c r="B17357" s="8" t="s">
        <v>16241</v>
      </c>
    </row>
    <row r="17358" spans="1:2" x14ac:dyDescent="0.3">
      <c r="A17358" s="9" t="str">
        <f>HYPERLINK("http://www.eatonpowersource.com/products/configure/motors/details/036-0014-002","036-0014-002")</f>
        <v>036-0014-002</v>
      </c>
      <c r="B17358" s="10" t="s">
        <v>16242</v>
      </c>
    </row>
    <row r="17359" spans="1:2" x14ac:dyDescent="0.3">
      <c r="A17359" s="7" t="str">
        <f>HYPERLINK("http://www.eatonpowersource.com/products/configure/motors/details/036-0015-002","036-0015-002")</f>
        <v>036-0015-002</v>
      </c>
      <c r="B17359" s="8" t="s">
        <v>16243</v>
      </c>
    </row>
    <row r="17360" spans="1:2" x14ac:dyDescent="0.3">
      <c r="A17360" s="9" t="str">
        <f>HYPERLINK("http://www.eatonpowersource.com/products/configure/motors/details/036-0016-002","036-0016-002")</f>
        <v>036-0016-002</v>
      </c>
      <c r="B17360" s="10" t="s">
        <v>16244</v>
      </c>
    </row>
    <row r="17361" spans="1:2" x14ac:dyDescent="0.3">
      <c r="A17361" s="7" t="str">
        <f>HYPERLINK("http://www.eatonpowersource.com/products/configure/motors/details/036-0017-002","036-0017-002")</f>
        <v>036-0017-002</v>
      </c>
      <c r="B17361" s="8" t="s">
        <v>16245</v>
      </c>
    </row>
    <row r="17362" spans="1:2" x14ac:dyDescent="0.3">
      <c r="A17362" s="9" t="str">
        <f>HYPERLINK("http://www.eatonpowersource.com/products/configure/motors/details/036-0018-002","036-0018-002")</f>
        <v>036-0018-002</v>
      </c>
      <c r="B17362" s="10" t="s">
        <v>16246</v>
      </c>
    </row>
    <row r="17363" spans="1:2" x14ac:dyDescent="0.3">
      <c r="A17363" s="7" t="str">
        <f>HYPERLINK("http://www.eatonpowersource.com/products/configure/motors/details/036-0019-002","036-0019-002")</f>
        <v>036-0019-002</v>
      </c>
      <c r="B17363" s="8" t="s">
        <v>16247</v>
      </c>
    </row>
    <row r="17364" spans="1:2" x14ac:dyDescent="0.3">
      <c r="A17364" s="9" t="str">
        <f>HYPERLINK("http://www.eatonpowersource.com/products/configure/motors/details/036-0020-002","036-0020-002")</f>
        <v>036-0020-002</v>
      </c>
      <c r="B17364" s="10" t="s">
        <v>16248</v>
      </c>
    </row>
    <row r="17365" spans="1:2" x14ac:dyDescent="0.3">
      <c r="A17365" s="7" t="str">
        <f>HYPERLINK("http://www.eatonpowersource.com/products/configure/motors/details/036-0021-002","036-0021-002")</f>
        <v>036-0021-002</v>
      </c>
      <c r="B17365" s="8" t="s">
        <v>16249</v>
      </c>
    </row>
    <row r="17366" spans="1:2" x14ac:dyDescent="0.3">
      <c r="A17366" s="9" t="str">
        <f>HYPERLINK("http://www.eatonpowersource.com/products/configure/motors/details/036-0022-002","036-0022-002")</f>
        <v>036-0022-002</v>
      </c>
      <c r="B17366" s="10" t="s">
        <v>16250</v>
      </c>
    </row>
    <row r="17367" spans="1:2" x14ac:dyDescent="0.3">
      <c r="A17367" s="7" t="str">
        <f>HYPERLINK("http://www.eatonpowersource.com/products/configure/motors/details/036-0024-002","036-0024-002")</f>
        <v>036-0024-002</v>
      </c>
      <c r="B17367" s="8" t="s">
        <v>16251</v>
      </c>
    </row>
    <row r="17368" spans="1:2" x14ac:dyDescent="0.3">
      <c r="A17368" s="9" t="str">
        <f>HYPERLINK("http://www.eatonpowersource.com/products/configure/motors/details/036-0026-002","036-0026-002")</f>
        <v>036-0026-002</v>
      </c>
      <c r="B17368" s="10" t="s">
        <v>16252</v>
      </c>
    </row>
    <row r="17369" spans="1:2" x14ac:dyDescent="0.3">
      <c r="A17369" s="7" t="str">
        <f>HYPERLINK("http://www.eatonpowersource.com/products/configure/motors/details/036-0027-002","036-0027-002")</f>
        <v>036-0027-002</v>
      </c>
      <c r="B17369" s="8" t="s">
        <v>16253</v>
      </c>
    </row>
    <row r="17370" spans="1:2" x14ac:dyDescent="0.3">
      <c r="A17370" s="9" t="str">
        <f>HYPERLINK("http://www.eatonpowersource.com/products/configure/motors/details/036-0030-002","036-0030-002")</f>
        <v>036-0030-002</v>
      </c>
      <c r="B17370" s="10" t="s">
        <v>16254</v>
      </c>
    </row>
    <row r="17371" spans="1:2" x14ac:dyDescent="0.3">
      <c r="A17371" s="7" t="str">
        <f>HYPERLINK("http://www.eatonpowersource.com/products/configure/motors/details/036-0031-002","036-0031-002")</f>
        <v>036-0031-002</v>
      </c>
      <c r="B17371" s="8" t="s">
        <v>16255</v>
      </c>
    </row>
    <row r="17372" spans="1:2" x14ac:dyDescent="0.3">
      <c r="A17372" s="9" t="str">
        <f>HYPERLINK("http://www.eatonpowersource.com/products/configure/motors/details/036-0032-002","036-0032-002")</f>
        <v>036-0032-002</v>
      </c>
      <c r="B17372" s="10" t="s">
        <v>16256</v>
      </c>
    </row>
    <row r="17373" spans="1:2" x14ac:dyDescent="0.3">
      <c r="A17373" s="7" t="str">
        <f>HYPERLINK("http://www.eatonpowersource.com/products/configure/motors/details/036-0033-002","036-0033-002")</f>
        <v>036-0033-002</v>
      </c>
      <c r="B17373" s="8" t="s">
        <v>16257</v>
      </c>
    </row>
    <row r="17374" spans="1:2" x14ac:dyDescent="0.3">
      <c r="A17374" s="9" t="str">
        <f>HYPERLINK("http://www.eatonpowersource.com/products/configure/motors/details/036-0034-002","036-0034-002")</f>
        <v>036-0034-002</v>
      </c>
      <c r="B17374" s="10" t="s">
        <v>16258</v>
      </c>
    </row>
    <row r="17375" spans="1:2" x14ac:dyDescent="0.3">
      <c r="A17375" s="7" t="str">
        <f>HYPERLINK("http://www.eatonpowersource.com/products/configure/motors/details/036-0035-002","036-0035-002")</f>
        <v>036-0035-002</v>
      </c>
      <c r="B17375" s="8" t="s">
        <v>16259</v>
      </c>
    </row>
    <row r="17376" spans="1:2" x14ac:dyDescent="0.3">
      <c r="A17376" s="9" t="str">
        <f>HYPERLINK("http://www.eatonpowersource.com/products/configure/motors/details/036-0036-002","036-0036-002")</f>
        <v>036-0036-002</v>
      </c>
      <c r="B17376" s="10" t="s">
        <v>16260</v>
      </c>
    </row>
    <row r="17377" spans="1:2" x14ac:dyDescent="0.3">
      <c r="A17377" s="7" t="str">
        <f>HYPERLINK("http://www.eatonpowersource.com/products/configure/motors/details/036-0037-002","036-0037-002")</f>
        <v>036-0037-002</v>
      </c>
      <c r="B17377" s="8" t="s">
        <v>16261</v>
      </c>
    </row>
    <row r="17378" spans="1:2" x14ac:dyDescent="0.3">
      <c r="A17378" s="9" t="str">
        <f>HYPERLINK("http://www.eatonpowersource.com/products/configure/motors/details/036-0038-002","036-0038-002")</f>
        <v>036-0038-002</v>
      </c>
      <c r="B17378" s="10" t="s">
        <v>16262</v>
      </c>
    </row>
    <row r="17379" spans="1:2" x14ac:dyDescent="0.3">
      <c r="A17379" s="7" t="str">
        <f>HYPERLINK("http://www.eatonpowersource.com/products/configure/motors/details/036-0039-002","036-0039-002")</f>
        <v>036-0039-002</v>
      </c>
      <c r="B17379" s="8" t="s">
        <v>16263</v>
      </c>
    </row>
    <row r="17380" spans="1:2" x14ac:dyDescent="0.3">
      <c r="A17380" s="9" t="str">
        <f>HYPERLINK("http://www.eatonpowersource.com/products/configure/motors/details/036-0040-002","036-0040-002")</f>
        <v>036-0040-002</v>
      </c>
      <c r="B17380" s="10" t="s">
        <v>16264</v>
      </c>
    </row>
    <row r="17381" spans="1:2" x14ac:dyDescent="0.3">
      <c r="A17381" s="7" t="str">
        <f>HYPERLINK("http://www.eatonpowersource.com/products/configure/motors/details/036-0041-002","036-0041-002")</f>
        <v>036-0041-002</v>
      </c>
      <c r="B17381" s="8" t="s">
        <v>16265</v>
      </c>
    </row>
    <row r="17382" spans="1:2" x14ac:dyDescent="0.3">
      <c r="A17382" s="9" t="str">
        <f>HYPERLINK("http://www.eatonpowersource.com/products/configure/motors/details/036-0042-002","036-0042-002")</f>
        <v>036-0042-002</v>
      </c>
      <c r="B17382" s="10" t="s">
        <v>16266</v>
      </c>
    </row>
    <row r="17383" spans="1:2" x14ac:dyDescent="0.3">
      <c r="A17383" s="7" t="str">
        <f>HYPERLINK("http://www.eatonpowersource.com/products/configure/motors/details/036-0043-002","036-0043-002")</f>
        <v>036-0043-002</v>
      </c>
      <c r="B17383" s="8" t="s">
        <v>16267</v>
      </c>
    </row>
    <row r="17384" spans="1:2" x14ac:dyDescent="0.3">
      <c r="A17384" s="9" t="str">
        <f>HYPERLINK("http://www.eatonpowersource.com/products/configure/motors/details/036-0044-002","036-0044-002")</f>
        <v>036-0044-002</v>
      </c>
      <c r="B17384" s="10" t="s">
        <v>16268</v>
      </c>
    </row>
    <row r="17385" spans="1:2" x14ac:dyDescent="0.3">
      <c r="A17385" s="7" t="str">
        <f>HYPERLINK("http://www.eatonpowersource.com/products/configure/motors/details/036-0045-002","036-0045-002")</f>
        <v>036-0045-002</v>
      </c>
      <c r="B17385" s="8" t="s">
        <v>16269</v>
      </c>
    </row>
    <row r="17386" spans="1:2" x14ac:dyDescent="0.3">
      <c r="A17386" s="9" t="str">
        <f>HYPERLINK("http://www.eatonpowersource.com/products/configure/motors/details/036-0055-002","036-0055-002")</f>
        <v>036-0055-002</v>
      </c>
      <c r="B17386" s="10" t="s">
        <v>16270</v>
      </c>
    </row>
    <row r="17387" spans="1:2" x14ac:dyDescent="0.3">
      <c r="A17387" s="7" t="str">
        <f>HYPERLINK("http://www.eatonpowersource.com/products/configure/motors/details/036-0062-002","036-0062-002")</f>
        <v>036-0062-002</v>
      </c>
      <c r="B17387" s="8" t="s">
        <v>16271</v>
      </c>
    </row>
    <row r="17388" spans="1:2" x14ac:dyDescent="0.3">
      <c r="A17388" s="9" t="str">
        <f>HYPERLINK("http://www.eatonpowersource.com/products/configure/motors/details/036-0131-002","036-0131-002")</f>
        <v>036-0131-002</v>
      </c>
      <c r="B17388" s="10" t="s">
        <v>16272</v>
      </c>
    </row>
    <row r="17389" spans="1:2" x14ac:dyDescent="0.3">
      <c r="A17389" s="7" t="str">
        <f>HYPERLINK("http://www.eatonpowersource.com/products/configure/motors/details/036-0133-002","036-0133-002")</f>
        <v>036-0133-002</v>
      </c>
      <c r="B17389" s="8" t="s">
        <v>16273</v>
      </c>
    </row>
    <row r="17390" spans="1:2" x14ac:dyDescent="0.3">
      <c r="A17390" s="9" t="str">
        <f>HYPERLINK("http://www.eatonpowersource.com/products/configure/motors/details/036-0134-002","036-0134-002")</f>
        <v>036-0134-002</v>
      </c>
      <c r="B17390" s="10" t="s">
        <v>16274</v>
      </c>
    </row>
    <row r="17391" spans="1:2" x14ac:dyDescent="0.3">
      <c r="A17391" s="7" t="str">
        <f>HYPERLINK("http://www.eatonpowersource.com/products/configure/motors/details/036-0135-002","036-0135-002")</f>
        <v>036-0135-002</v>
      </c>
      <c r="B17391" s="8" t="s">
        <v>16275</v>
      </c>
    </row>
    <row r="17392" spans="1:2" x14ac:dyDescent="0.3">
      <c r="A17392" s="9" t="str">
        <f>HYPERLINK("http://www.eatonpowersource.com/products/configure/motors/details/036-0136-002","036-0136-002")</f>
        <v>036-0136-002</v>
      </c>
      <c r="B17392" s="10" t="s">
        <v>16276</v>
      </c>
    </row>
    <row r="17393" spans="1:2" x14ac:dyDescent="0.3">
      <c r="A17393" s="7" t="str">
        <f>HYPERLINK("http://www.eatonpowersource.com/products/configure/motors/details/036-0157-002","036-0157-002")</f>
        <v>036-0157-002</v>
      </c>
      <c r="B17393" s="8" t="s">
        <v>16277</v>
      </c>
    </row>
    <row r="17394" spans="1:2" x14ac:dyDescent="0.3">
      <c r="A17394" s="9" t="str">
        <f>HYPERLINK("http://www.eatonpowersource.com/products/configure/motors/details/036-0158-002","036-0158-002")</f>
        <v>036-0158-002</v>
      </c>
      <c r="B17394" s="10" t="s">
        <v>16278</v>
      </c>
    </row>
    <row r="17395" spans="1:2" x14ac:dyDescent="0.3">
      <c r="A17395" s="7" t="str">
        <f>HYPERLINK("http://www.eatonpowersource.com/products/configure/motors/details/036-0159-002","036-0159-002")</f>
        <v>036-0159-002</v>
      </c>
      <c r="B17395" s="8" t="s">
        <v>16279</v>
      </c>
    </row>
    <row r="17396" spans="1:2" x14ac:dyDescent="0.3">
      <c r="A17396" s="9" t="str">
        <f>HYPERLINK("http://www.eatonpowersource.com/products/configure/motors/details/036-0160-002","036-0160-002")</f>
        <v>036-0160-002</v>
      </c>
      <c r="B17396" s="10" t="s">
        <v>16280</v>
      </c>
    </row>
    <row r="17397" spans="1:2" x14ac:dyDescent="0.3">
      <c r="A17397" s="7" t="str">
        <f>HYPERLINK("http://www.eatonpowersource.com/products/configure/motors/details/036-0161-002","036-0161-002")</f>
        <v>036-0161-002</v>
      </c>
      <c r="B17397" s="8" t="s">
        <v>16281</v>
      </c>
    </row>
    <row r="17398" spans="1:2" x14ac:dyDescent="0.3">
      <c r="A17398" s="9" t="str">
        <f>HYPERLINK("http://www.eatonpowersource.com/products/configure/motors/details/036-0162-002","036-0162-002")</f>
        <v>036-0162-002</v>
      </c>
      <c r="B17398" s="10" t="s">
        <v>16282</v>
      </c>
    </row>
    <row r="17399" spans="1:2" x14ac:dyDescent="0.3">
      <c r="A17399" s="7" t="str">
        <f>HYPERLINK("http://www.eatonpowersource.com/products/configure/motors/details/036-0163-002","036-0163-002")</f>
        <v>036-0163-002</v>
      </c>
      <c r="B17399" s="8" t="s">
        <v>16283</v>
      </c>
    </row>
    <row r="17400" spans="1:2" x14ac:dyDescent="0.3">
      <c r="A17400" s="9" t="str">
        <f>HYPERLINK("http://www.eatonpowersource.com/products/configure/motors/details/036-0164-002","036-0164-002")</f>
        <v>036-0164-002</v>
      </c>
      <c r="B17400" s="10" t="s">
        <v>16284</v>
      </c>
    </row>
    <row r="17401" spans="1:2" x14ac:dyDescent="0.3">
      <c r="A17401" s="7" t="str">
        <f>HYPERLINK("http://www.eatonpowersource.com/products/configure/motors/details/036-0165-002","036-0165-002")</f>
        <v>036-0165-002</v>
      </c>
      <c r="B17401" s="8" t="s">
        <v>16285</v>
      </c>
    </row>
    <row r="17402" spans="1:2" x14ac:dyDescent="0.3">
      <c r="A17402" s="9" t="str">
        <f>HYPERLINK("http://www.eatonpowersource.com/products/configure/motors/details/036-0166-002","036-0166-002")</f>
        <v>036-0166-002</v>
      </c>
      <c r="B17402" s="10" t="s">
        <v>16286</v>
      </c>
    </row>
    <row r="17403" spans="1:2" x14ac:dyDescent="0.3">
      <c r="A17403" s="7" t="str">
        <f>HYPERLINK("http://www.eatonpowersource.com/products/configure/motors/details/036-0167-002","036-0167-002")</f>
        <v>036-0167-002</v>
      </c>
      <c r="B17403" s="8" t="s">
        <v>16287</v>
      </c>
    </row>
    <row r="17404" spans="1:2" x14ac:dyDescent="0.3">
      <c r="A17404" s="9" t="str">
        <f>HYPERLINK("http://www.eatonpowersource.com/products/configure/motors/details/036-0168-002","036-0168-002")</f>
        <v>036-0168-002</v>
      </c>
      <c r="B17404" s="10" t="s">
        <v>16288</v>
      </c>
    </row>
    <row r="17405" spans="1:2" x14ac:dyDescent="0.3">
      <c r="A17405" s="7" t="str">
        <f>HYPERLINK("http://www.eatonpowersource.com/products/configure/motors/details/036-0181-002","036-0181-002")</f>
        <v>036-0181-002</v>
      </c>
      <c r="B17405" s="8" t="s">
        <v>16289</v>
      </c>
    </row>
    <row r="17406" spans="1:2" x14ac:dyDescent="0.3">
      <c r="A17406" s="9" t="str">
        <f>HYPERLINK("http://www.eatonpowersource.com/products/configure/motors/details/036-0217-002","036-0217-002")</f>
        <v>036-0217-002</v>
      </c>
      <c r="B17406" s="10" t="s">
        <v>16290</v>
      </c>
    </row>
    <row r="17407" spans="1:2" x14ac:dyDescent="0.3">
      <c r="A17407" s="7" t="str">
        <f>HYPERLINK("http://www.eatonpowersource.com/products/configure/motors/details/036-0218-002","036-0218-002")</f>
        <v>036-0218-002</v>
      </c>
      <c r="B17407" s="8" t="s">
        <v>16291</v>
      </c>
    </row>
    <row r="17408" spans="1:2" x14ac:dyDescent="0.3">
      <c r="A17408" s="9" t="str">
        <f>HYPERLINK("http://www.eatonpowersource.com/products/configure/motors/details/036-0219-002","036-0219-002")</f>
        <v>036-0219-002</v>
      </c>
      <c r="B17408" s="10" t="s">
        <v>16292</v>
      </c>
    </row>
    <row r="17409" spans="1:2" x14ac:dyDescent="0.3">
      <c r="A17409" s="7" t="str">
        <f>HYPERLINK("http://www.eatonpowersource.com/products/configure/motors/details/036-0220-002","036-0220-002")</f>
        <v>036-0220-002</v>
      </c>
      <c r="B17409" s="8" t="s">
        <v>16293</v>
      </c>
    </row>
    <row r="17410" spans="1:2" x14ac:dyDescent="0.3">
      <c r="A17410" s="9" t="str">
        <f>HYPERLINK("http://www.eatonpowersource.com/products/configure/motors/details/036-0221-002","036-0221-002")</f>
        <v>036-0221-002</v>
      </c>
      <c r="B17410" s="10" t="s">
        <v>16294</v>
      </c>
    </row>
    <row r="17411" spans="1:2" x14ac:dyDescent="0.3">
      <c r="A17411" s="7" t="str">
        <f>HYPERLINK("http://www.eatonpowersource.com/products/configure/motors/details/036-0222-002","036-0222-002")</f>
        <v>036-0222-002</v>
      </c>
      <c r="B17411" s="8" t="s">
        <v>16295</v>
      </c>
    </row>
    <row r="17412" spans="1:2" x14ac:dyDescent="0.3">
      <c r="A17412" s="9" t="str">
        <f>HYPERLINK("http://www.eatonpowersource.com/products/configure/motors/details/036-0223-002","036-0223-002")</f>
        <v>036-0223-002</v>
      </c>
      <c r="B17412" s="10" t="s">
        <v>16296</v>
      </c>
    </row>
    <row r="17413" spans="1:2" x14ac:dyDescent="0.3">
      <c r="A17413" s="7" t="str">
        <f>HYPERLINK("http://www.eatonpowersource.com/products/configure/motors/details/036-0224-002","036-0224-002")</f>
        <v>036-0224-002</v>
      </c>
      <c r="B17413" s="8" t="s">
        <v>16297</v>
      </c>
    </row>
    <row r="17414" spans="1:2" x14ac:dyDescent="0.3">
      <c r="A17414" s="9" t="str">
        <f>HYPERLINK("http://www.eatonpowersource.com/products/configure/motors/details/036-0292-002","036-0292-002")</f>
        <v>036-0292-002</v>
      </c>
      <c r="B17414" s="10" t="s">
        <v>16298</v>
      </c>
    </row>
    <row r="17415" spans="1:2" x14ac:dyDescent="0.3">
      <c r="A17415" s="7" t="str">
        <f>HYPERLINK("http://www.eatonpowersource.com/products/configure/motors/details/036-0317-002","036-0317-002")</f>
        <v>036-0317-002</v>
      </c>
      <c r="B17415" s="8" t="s">
        <v>16299</v>
      </c>
    </row>
    <row r="17416" spans="1:2" x14ac:dyDescent="0.3">
      <c r="A17416" s="9" t="str">
        <f>HYPERLINK("http://www.eatonpowersource.com/products/configure/motors/details/036-0323-002","036-0323-002")</f>
        <v>036-0323-002</v>
      </c>
      <c r="B17416" s="10" t="s">
        <v>16300</v>
      </c>
    </row>
  </sheetData>
  <autoFilter ref="A1:B17416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Burda Jan</dc:creator>
  <cp:lastModifiedBy>Dragan Carina</cp:lastModifiedBy>
  <dcterms:created xsi:type="dcterms:W3CDTF">2020-10-22T08:22:03Z</dcterms:created>
  <dcterms:modified xsi:type="dcterms:W3CDTF">2020-12-18T09:30:12Z</dcterms:modified>
</cp:coreProperties>
</file>